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2怀远县事业单位笔试成绩及拟进入专业测试人员" sheetId="2" r:id="rId1"/>
  </sheets>
  <definedNames>
    <definedName name="_xlnm._FilterDatabase" localSheetId="0" hidden="1">'2022怀远县事业单位笔试成绩及拟进入专业测试人员'!$A$2:$H$1386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<sst xmlns="http://schemas.openxmlformats.org/spreadsheetml/2006/main" count="1392" uniqueCount="13">
  <si>
    <r>
      <rPr>
        <b/>
        <sz val="14"/>
        <color theme="1"/>
        <rFont val="宋体"/>
        <charset val="134"/>
        <scheme val="minor"/>
      </rPr>
      <t>怀远县</t>
    </r>
    <r>
      <rPr>
        <b/>
        <sz val="14"/>
        <color theme="1"/>
        <rFont val="Calibri"/>
        <charset val="134"/>
      </rPr>
      <t>2022</t>
    </r>
    <r>
      <rPr>
        <b/>
        <sz val="14"/>
        <color theme="1"/>
        <rFont val="宋体"/>
        <charset val="134"/>
        <scheme val="minor"/>
      </rPr>
      <t>年度事业单位公开招聘工作人员笔试成绩和
拟进入专业测试人员名单</t>
    </r>
  </si>
  <si>
    <t>岗位代码</t>
  </si>
  <si>
    <t>准考证号</t>
  </si>
  <si>
    <t>考场号</t>
  </si>
  <si>
    <t>座位号</t>
  </si>
  <si>
    <t>职业能力倾向测验</t>
  </si>
  <si>
    <t>综合应用能力</t>
  </si>
  <si>
    <t>笔试成绩</t>
  </si>
  <si>
    <t>备注</t>
  </si>
  <si>
    <t/>
  </si>
  <si>
    <t>缺考</t>
  </si>
  <si>
    <t>拟进入专业测试</t>
  </si>
  <si>
    <t>含政策加分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</si>
</sst>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4"/>
      <color theme="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6"/>
  <sheetViews>
    <sheetView tabSelected="1" workbookViewId="0">
      <pane ySplit="2" topLeftCell="A3" activePane="bottomLeft" state="frozen"/>
      <selection/>
      <selection pane="bottomLeft" activeCell="A1" sqref="A1:H1386"/>
    </sheetView>
  </sheetViews>
  <sheetFormatPr defaultColWidth="9" defaultRowHeight="13.5" outlineLevelCol="7"/>
  <cols>
    <col min="1" max="1" width="12" style="1" customWidth="1"/>
    <col min="2" max="2" width="13.5" style="1" customWidth="1"/>
    <col min="3" max="4" width="7.75" style="1" hidden="1" customWidth="1"/>
    <col min="5" max="5" width="16.375" style="1" customWidth="1"/>
    <col min="6" max="6" width="13.125" style="1" customWidth="1"/>
    <col min="7" max="7" width="11.5" style="2" customWidth="1"/>
    <col min="8" max="8" width="15.875" style="1" customWidth="1"/>
    <col min="9" max="251" width="9" style="1"/>
    <col min="252" max="252" width="9.125" style="1" customWidth="1"/>
    <col min="253" max="253" width="9.75" style="1" customWidth="1"/>
    <col min="254" max="254" width="27.625" style="1" customWidth="1"/>
    <col min="255" max="255" width="11.625" style="1" customWidth="1"/>
    <col min="256" max="257" width="7.75" style="1" customWidth="1"/>
    <col min="258" max="258" width="18.625" style="1" customWidth="1"/>
    <col min="259" max="259" width="5.75" style="1" customWidth="1"/>
    <col min="260" max="260" width="14.125" style="1" customWidth="1"/>
    <col min="261" max="261" width="5.75" style="1" customWidth="1"/>
    <col min="262" max="507" width="9" style="1"/>
    <col min="508" max="508" width="9.125" style="1" customWidth="1"/>
    <col min="509" max="509" width="9.75" style="1" customWidth="1"/>
    <col min="510" max="510" width="27.625" style="1" customWidth="1"/>
    <col min="511" max="511" width="11.625" style="1" customWidth="1"/>
    <col min="512" max="513" width="7.75" style="1" customWidth="1"/>
    <col min="514" max="514" width="18.625" style="1" customWidth="1"/>
    <col min="515" max="515" width="5.75" style="1" customWidth="1"/>
    <col min="516" max="516" width="14.125" style="1" customWidth="1"/>
    <col min="517" max="517" width="5.75" style="1" customWidth="1"/>
    <col min="518" max="763" width="9" style="1"/>
    <col min="764" max="764" width="9.125" style="1" customWidth="1"/>
    <col min="765" max="765" width="9.75" style="1" customWidth="1"/>
    <col min="766" max="766" width="27.625" style="1" customWidth="1"/>
    <col min="767" max="767" width="11.625" style="1" customWidth="1"/>
    <col min="768" max="769" width="7.75" style="1" customWidth="1"/>
    <col min="770" max="770" width="18.625" style="1" customWidth="1"/>
    <col min="771" max="771" width="5.75" style="1" customWidth="1"/>
    <col min="772" max="772" width="14.125" style="1" customWidth="1"/>
    <col min="773" max="773" width="5.75" style="1" customWidth="1"/>
    <col min="774" max="1019" width="9" style="1"/>
    <col min="1020" max="1020" width="9.125" style="1" customWidth="1"/>
    <col min="1021" max="1021" width="9.75" style="1" customWidth="1"/>
    <col min="1022" max="1022" width="27.625" style="1" customWidth="1"/>
    <col min="1023" max="1023" width="11.625" style="1" customWidth="1"/>
    <col min="1024" max="1025" width="7.75" style="1" customWidth="1"/>
    <col min="1026" max="1026" width="18.625" style="1" customWidth="1"/>
    <col min="1027" max="1027" width="5.75" style="1" customWidth="1"/>
    <col min="1028" max="1028" width="14.125" style="1" customWidth="1"/>
    <col min="1029" max="1029" width="5.75" style="1" customWidth="1"/>
    <col min="1030" max="1275" width="9" style="1"/>
    <col min="1276" max="1276" width="9.125" style="1" customWidth="1"/>
    <col min="1277" max="1277" width="9.75" style="1" customWidth="1"/>
    <col min="1278" max="1278" width="27.625" style="1" customWidth="1"/>
    <col min="1279" max="1279" width="11.625" style="1" customWidth="1"/>
    <col min="1280" max="1281" width="7.75" style="1" customWidth="1"/>
    <col min="1282" max="1282" width="18.625" style="1" customWidth="1"/>
    <col min="1283" max="1283" width="5.75" style="1" customWidth="1"/>
    <col min="1284" max="1284" width="14.125" style="1" customWidth="1"/>
    <col min="1285" max="1285" width="5.75" style="1" customWidth="1"/>
    <col min="1286" max="1531" width="9" style="1"/>
    <col min="1532" max="1532" width="9.125" style="1" customWidth="1"/>
    <col min="1533" max="1533" width="9.75" style="1" customWidth="1"/>
    <col min="1534" max="1534" width="27.625" style="1" customWidth="1"/>
    <col min="1535" max="1535" width="11.625" style="1" customWidth="1"/>
    <col min="1536" max="1537" width="7.75" style="1" customWidth="1"/>
    <col min="1538" max="1538" width="18.625" style="1" customWidth="1"/>
    <col min="1539" max="1539" width="5.75" style="1" customWidth="1"/>
    <col min="1540" max="1540" width="14.125" style="1" customWidth="1"/>
    <col min="1541" max="1541" width="5.75" style="1" customWidth="1"/>
    <col min="1542" max="1787" width="9" style="1"/>
    <col min="1788" max="1788" width="9.125" style="1" customWidth="1"/>
    <col min="1789" max="1789" width="9.75" style="1" customWidth="1"/>
    <col min="1790" max="1790" width="27.625" style="1" customWidth="1"/>
    <col min="1791" max="1791" width="11.625" style="1" customWidth="1"/>
    <col min="1792" max="1793" width="7.75" style="1" customWidth="1"/>
    <col min="1794" max="1794" width="18.625" style="1" customWidth="1"/>
    <col min="1795" max="1795" width="5.75" style="1" customWidth="1"/>
    <col min="1796" max="1796" width="14.125" style="1" customWidth="1"/>
    <col min="1797" max="1797" width="5.75" style="1" customWidth="1"/>
    <col min="1798" max="2043" width="9" style="1"/>
    <col min="2044" max="2044" width="9.125" style="1" customWidth="1"/>
    <col min="2045" max="2045" width="9.75" style="1" customWidth="1"/>
    <col min="2046" max="2046" width="27.625" style="1" customWidth="1"/>
    <col min="2047" max="2047" width="11.625" style="1" customWidth="1"/>
    <col min="2048" max="2049" width="7.75" style="1" customWidth="1"/>
    <col min="2050" max="2050" width="18.625" style="1" customWidth="1"/>
    <col min="2051" max="2051" width="5.75" style="1" customWidth="1"/>
    <col min="2052" max="2052" width="14.125" style="1" customWidth="1"/>
    <col min="2053" max="2053" width="5.75" style="1" customWidth="1"/>
    <col min="2054" max="2299" width="9" style="1"/>
    <col min="2300" max="2300" width="9.125" style="1" customWidth="1"/>
    <col min="2301" max="2301" width="9.75" style="1" customWidth="1"/>
    <col min="2302" max="2302" width="27.625" style="1" customWidth="1"/>
    <col min="2303" max="2303" width="11.625" style="1" customWidth="1"/>
    <col min="2304" max="2305" width="7.75" style="1" customWidth="1"/>
    <col min="2306" max="2306" width="18.625" style="1" customWidth="1"/>
    <col min="2307" max="2307" width="5.75" style="1" customWidth="1"/>
    <col min="2308" max="2308" width="14.125" style="1" customWidth="1"/>
    <col min="2309" max="2309" width="5.75" style="1" customWidth="1"/>
    <col min="2310" max="2555" width="9" style="1"/>
    <col min="2556" max="2556" width="9.125" style="1" customWidth="1"/>
    <col min="2557" max="2557" width="9.75" style="1" customWidth="1"/>
    <col min="2558" max="2558" width="27.625" style="1" customWidth="1"/>
    <col min="2559" max="2559" width="11.625" style="1" customWidth="1"/>
    <col min="2560" max="2561" width="7.75" style="1" customWidth="1"/>
    <col min="2562" max="2562" width="18.625" style="1" customWidth="1"/>
    <col min="2563" max="2563" width="5.75" style="1" customWidth="1"/>
    <col min="2564" max="2564" width="14.125" style="1" customWidth="1"/>
    <col min="2565" max="2565" width="5.75" style="1" customWidth="1"/>
    <col min="2566" max="2811" width="9" style="1"/>
    <col min="2812" max="2812" width="9.125" style="1" customWidth="1"/>
    <col min="2813" max="2813" width="9.75" style="1" customWidth="1"/>
    <col min="2814" max="2814" width="27.625" style="1" customWidth="1"/>
    <col min="2815" max="2815" width="11.625" style="1" customWidth="1"/>
    <col min="2816" max="2817" width="7.75" style="1" customWidth="1"/>
    <col min="2818" max="2818" width="18.625" style="1" customWidth="1"/>
    <col min="2819" max="2819" width="5.75" style="1" customWidth="1"/>
    <col min="2820" max="2820" width="14.125" style="1" customWidth="1"/>
    <col min="2821" max="2821" width="5.75" style="1" customWidth="1"/>
    <col min="2822" max="3067" width="9" style="1"/>
    <col min="3068" max="3068" width="9.125" style="1" customWidth="1"/>
    <col min="3069" max="3069" width="9.75" style="1" customWidth="1"/>
    <col min="3070" max="3070" width="27.625" style="1" customWidth="1"/>
    <col min="3071" max="3071" width="11.625" style="1" customWidth="1"/>
    <col min="3072" max="3073" width="7.75" style="1" customWidth="1"/>
    <col min="3074" max="3074" width="18.625" style="1" customWidth="1"/>
    <col min="3075" max="3075" width="5.75" style="1" customWidth="1"/>
    <col min="3076" max="3076" width="14.125" style="1" customWidth="1"/>
    <col min="3077" max="3077" width="5.75" style="1" customWidth="1"/>
    <col min="3078" max="3323" width="9" style="1"/>
    <col min="3324" max="3324" width="9.125" style="1" customWidth="1"/>
    <col min="3325" max="3325" width="9.75" style="1" customWidth="1"/>
    <col min="3326" max="3326" width="27.625" style="1" customWidth="1"/>
    <col min="3327" max="3327" width="11.625" style="1" customWidth="1"/>
    <col min="3328" max="3329" width="7.75" style="1" customWidth="1"/>
    <col min="3330" max="3330" width="18.625" style="1" customWidth="1"/>
    <col min="3331" max="3331" width="5.75" style="1" customWidth="1"/>
    <col min="3332" max="3332" width="14.125" style="1" customWidth="1"/>
    <col min="3333" max="3333" width="5.75" style="1" customWidth="1"/>
    <col min="3334" max="3579" width="9" style="1"/>
    <col min="3580" max="3580" width="9.125" style="1" customWidth="1"/>
    <col min="3581" max="3581" width="9.75" style="1" customWidth="1"/>
    <col min="3582" max="3582" width="27.625" style="1" customWidth="1"/>
    <col min="3583" max="3583" width="11.625" style="1" customWidth="1"/>
    <col min="3584" max="3585" width="7.75" style="1" customWidth="1"/>
    <col min="3586" max="3586" width="18.625" style="1" customWidth="1"/>
    <col min="3587" max="3587" width="5.75" style="1" customWidth="1"/>
    <col min="3588" max="3588" width="14.125" style="1" customWidth="1"/>
    <col min="3589" max="3589" width="5.75" style="1" customWidth="1"/>
    <col min="3590" max="3835" width="9" style="1"/>
    <col min="3836" max="3836" width="9.125" style="1" customWidth="1"/>
    <col min="3837" max="3837" width="9.75" style="1" customWidth="1"/>
    <col min="3838" max="3838" width="27.625" style="1" customWidth="1"/>
    <col min="3839" max="3839" width="11.625" style="1" customWidth="1"/>
    <col min="3840" max="3841" width="7.75" style="1" customWidth="1"/>
    <col min="3842" max="3842" width="18.625" style="1" customWidth="1"/>
    <col min="3843" max="3843" width="5.75" style="1" customWidth="1"/>
    <col min="3844" max="3844" width="14.125" style="1" customWidth="1"/>
    <col min="3845" max="3845" width="5.75" style="1" customWidth="1"/>
    <col min="3846" max="4091" width="9" style="1"/>
    <col min="4092" max="4092" width="9.125" style="1" customWidth="1"/>
    <col min="4093" max="4093" width="9.75" style="1" customWidth="1"/>
    <col min="4094" max="4094" width="27.625" style="1" customWidth="1"/>
    <col min="4095" max="4095" width="11.625" style="1" customWidth="1"/>
    <col min="4096" max="4097" width="7.75" style="1" customWidth="1"/>
    <col min="4098" max="4098" width="18.625" style="1" customWidth="1"/>
    <col min="4099" max="4099" width="5.75" style="1" customWidth="1"/>
    <col min="4100" max="4100" width="14.125" style="1" customWidth="1"/>
    <col min="4101" max="4101" width="5.75" style="1" customWidth="1"/>
    <col min="4102" max="4347" width="9" style="1"/>
    <col min="4348" max="4348" width="9.125" style="1" customWidth="1"/>
    <col min="4349" max="4349" width="9.75" style="1" customWidth="1"/>
    <col min="4350" max="4350" width="27.625" style="1" customWidth="1"/>
    <col min="4351" max="4351" width="11.625" style="1" customWidth="1"/>
    <col min="4352" max="4353" width="7.75" style="1" customWidth="1"/>
    <col min="4354" max="4354" width="18.625" style="1" customWidth="1"/>
    <col min="4355" max="4355" width="5.75" style="1" customWidth="1"/>
    <col min="4356" max="4356" width="14.125" style="1" customWidth="1"/>
    <col min="4357" max="4357" width="5.75" style="1" customWidth="1"/>
    <col min="4358" max="4603" width="9" style="1"/>
    <col min="4604" max="4604" width="9.125" style="1" customWidth="1"/>
    <col min="4605" max="4605" width="9.75" style="1" customWidth="1"/>
    <col min="4606" max="4606" width="27.625" style="1" customWidth="1"/>
    <col min="4607" max="4607" width="11.625" style="1" customWidth="1"/>
    <col min="4608" max="4609" width="7.75" style="1" customWidth="1"/>
    <col min="4610" max="4610" width="18.625" style="1" customWidth="1"/>
    <col min="4611" max="4611" width="5.75" style="1" customWidth="1"/>
    <col min="4612" max="4612" width="14.125" style="1" customWidth="1"/>
    <col min="4613" max="4613" width="5.75" style="1" customWidth="1"/>
    <col min="4614" max="4859" width="9" style="1"/>
    <col min="4860" max="4860" width="9.125" style="1" customWidth="1"/>
    <col min="4861" max="4861" width="9.75" style="1" customWidth="1"/>
    <col min="4862" max="4862" width="27.625" style="1" customWidth="1"/>
    <col min="4863" max="4863" width="11.625" style="1" customWidth="1"/>
    <col min="4864" max="4865" width="7.75" style="1" customWidth="1"/>
    <col min="4866" max="4866" width="18.625" style="1" customWidth="1"/>
    <col min="4867" max="4867" width="5.75" style="1" customWidth="1"/>
    <col min="4868" max="4868" width="14.125" style="1" customWidth="1"/>
    <col min="4869" max="4869" width="5.75" style="1" customWidth="1"/>
    <col min="4870" max="5115" width="9" style="1"/>
    <col min="5116" max="5116" width="9.125" style="1" customWidth="1"/>
    <col min="5117" max="5117" width="9.75" style="1" customWidth="1"/>
    <col min="5118" max="5118" width="27.625" style="1" customWidth="1"/>
    <col min="5119" max="5119" width="11.625" style="1" customWidth="1"/>
    <col min="5120" max="5121" width="7.75" style="1" customWidth="1"/>
    <col min="5122" max="5122" width="18.625" style="1" customWidth="1"/>
    <col min="5123" max="5123" width="5.75" style="1" customWidth="1"/>
    <col min="5124" max="5124" width="14.125" style="1" customWidth="1"/>
    <col min="5125" max="5125" width="5.75" style="1" customWidth="1"/>
    <col min="5126" max="5371" width="9" style="1"/>
    <col min="5372" max="5372" width="9.125" style="1" customWidth="1"/>
    <col min="5373" max="5373" width="9.75" style="1" customWidth="1"/>
    <col min="5374" max="5374" width="27.625" style="1" customWidth="1"/>
    <col min="5375" max="5375" width="11.625" style="1" customWidth="1"/>
    <col min="5376" max="5377" width="7.75" style="1" customWidth="1"/>
    <col min="5378" max="5378" width="18.625" style="1" customWidth="1"/>
    <col min="5379" max="5379" width="5.75" style="1" customWidth="1"/>
    <col min="5380" max="5380" width="14.125" style="1" customWidth="1"/>
    <col min="5381" max="5381" width="5.75" style="1" customWidth="1"/>
    <col min="5382" max="5627" width="9" style="1"/>
    <col min="5628" max="5628" width="9.125" style="1" customWidth="1"/>
    <col min="5629" max="5629" width="9.75" style="1" customWidth="1"/>
    <col min="5630" max="5630" width="27.625" style="1" customWidth="1"/>
    <col min="5631" max="5631" width="11.625" style="1" customWidth="1"/>
    <col min="5632" max="5633" width="7.75" style="1" customWidth="1"/>
    <col min="5634" max="5634" width="18.625" style="1" customWidth="1"/>
    <col min="5635" max="5635" width="5.75" style="1" customWidth="1"/>
    <col min="5636" max="5636" width="14.125" style="1" customWidth="1"/>
    <col min="5637" max="5637" width="5.75" style="1" customWidth="1"/>
    <col min="5638" max="5883" width="9" style="1"/>
    <col min="5884" max="5884" width="9.125" style="1" customWidth="1"/>
    <col min="5885" max="5885" width="9.75" style="1" customWidth="1"/>
    <col min="5886" max="5886" width="27.625" style="1" customWidth="1"/>
    <col min="5887" max="5887" width="11.625" style="1" customWidth="1"/>
    <col min="5888" max="5889" width="7.75" style="1" customWidth="1"/>
    <col min="5890" max="5890" width="18.625" style="1" customWidth="1"/>
    <col min="5891" max="5891" width="5.75" style="1" customWidth="1"/>
    <col min="5892" max="5892" width="14.125" style="1" customWidth="1"/>
    <col min="5893" max="5893" width="5.75" style="1" customWidth="1"/>
    <col min="5894" max="6139" width="9" style="1"/>
    <col min="6140" max="6140" width="9.125" style="1" customWidth="1"/>
    <col min="6141" max="6141" width="9.75" style="1" customWidth="1"/>
    <col min="6142" max="6142" width="27.625" style="1" customWidth="1"/>
    <col min="6143" max="6143" width="11.625" style="1" customWidth="1"/>
    <col min="6144" max="6145" width="7.75" style="1" customWidth="1"/>
    <col min="6146" max="6146" width="18.625" style="1" customWidth="1"/>
    <col min="6147" max="6147" width="5.75" style="1" customWidth="1"/>
    <col min="6148" max="6148" width="14.125" style="1" customWidth="1"/>
    <col min="6149" max="6149" width="5.75" style="1" customWidth="1"/>
    <col min="6150" max="6395" width="9" style="1"/>
    <col min="6396" max="6396" width="9.125" style="1" customWidth="1"/>
    <col min="6397" max="6397" width="9.75" style="1" customWidth="1"/>
    <col min="6398" max="6398" width="27.625" style="1" customWidth="1"/>
    <col min="6399" max="6399" width="11.625" style="1" customWidth="1"/>
    <col min="6400" max="6401" width="7.75" style="1" customWidth="1"/>
    <col min="6402" max="6402" width="18.625" style="1" customWidth="1"/>
    <col min="6403" max="6403" width="5.75" style="1" customWidth="1"/>
    <col min="6404" max="6404" width="14.125" style="1" customWidth="1"/>
    <col min="6405" max="6405" width="5.75" style="1" customWidth="1"/>
    <col min="6406" max="6651" width="9" style="1"/>
    <col min="6652" max="6652" width="9.125" style="1" customWidth="1"/>
    <col min="6653" max="6653" width="9.75" style="1" customWidth="1"/>
    <col min="6654" max="6654" width="27.625" style="1" customWidth="1"/>
    <col min="6655" max="6655" width="11.625" style="1" customWidth="1"/>
    <col min="6656" max="6657" width="7.75" style="1" customWidth="1"/>
    <col min="6658" max="6658" width="18.625" style="1" customWidth="1"/>
    <col min="6659" max="6659" width="5.75" style="1" customWidth="1"/>
    <col min="6660" max="6660" width="14.125" style="1" customWidth="1"/>
    <col min="6661" max="6661" width="5.75" style="1" customWidth="1"/>
    <col min="6662" max="6907" width="9" style="1"/>
    <col min="6908" max="6908" width="9.125" style="1" customWidth="1"/>
    <col min="6909" max="6909" width="9.75" style="1" customWidth="1"/>
    <col min="6910" max="6910" width="27.625" style="1" customWidth="1"/>
    <col min="6911" max="6911" width="11.625" style="1" customWidth="1"/>
    <col min="6912" max="6913" width="7.75" style="1" customWidth="1"/>
    <col min="6914" max="6914" width="18.625" style="1" customWidth="1"/>
    <col min="6915" max="6915" width="5.75" style="1" customWidth="1"/>
    <col min="6916" max="6916" width="14.125" style="1" customWidth="1"/>
    <col min="6917" max="6917" width="5.75" style="1" customWidth="1"/>
    <col min="6918" max="7163" width="9" style="1"/>
    <col min="7164" max="7164" width="9.125" style="1" customWidth="1"/>
    <col min="7165" max="7165" width="9.75" style="1" customWidth="1"/>
    <col min="7166" max="7166" width="27.625" style="1" customWidth="1"/>
    <col min="7167" max="7167" width="11.625" style="1" customWidth="1"/>
    <col min="7168" max="7169" width="7.75" style="1" customWidth="1"/>
    <col min="7170" max="7170" width="18.625" style="1" customWidth="1"/>
    <col min="7171" max="7171" width="5.75" style="1" customWidth="1"/>
    <col min="7172" max="7172" width="14.125" style="1" customWidth="1"/>
    <col min="7173" max="7173" width="5.75" style="1" customWidth="1"/>
    <col min="7174" max="7419" width="9" style="1"/>
    <col min="7420" max="7420" width="9.125" style="1" customWidth="1"/>
    <col min="7421" max="7421" width="9.75" style="1" customWidth="1"/>
    <col min="7422" max="7422" width="27.625" style="1" customWidth="1"/>
    <col min="7423" max="7423" width="11.625" style="1" customWidth="1"/>
    <col min="7424" max="7425" width="7.75" style="1" customWidth="1"/>
    <col min="7426" max="7426" width="18.625" style="1" customWidth="1"/>
    <col min="7427" max="7427" width="5.75" style="1" customWidth="1"/>
    <col min="7428" max="7428" width="14.125" style="1" customWidth="1"/>
    <col min="7429" max="7429" width="5.75" style="1" customWidth="1"/>
    <col min="7430" max="7675" width="9" style="1"/>
    <col min="7676" max="7676" width="9.125" style="1" customWidth="1"/>
    <col min="7677" max="7677" width="9.75" style="1" customWidth="1"/>
    <col min="7678" max="7678" width="27.625" style="1" customWidth="1"/>
    <col min="7679" max="7679" width="11.625" style="1" customWidth="1"/>
    <col min="7680" max="7681" width="7.75" style="1" customWidth="1"/>
    <col min="7682" max="7682" width="18.625" style="1" customWidth="1"/>
    <col min="7683" max="7683" width="5.75" style="1" customWidth="1"/>
    <col min="7684" max="7684" width="14.125" style="1" customWidth="1"/>
    <col min="7685" max="7685" width="5.75" style="1" customWidth="1"/>
    <col min="7686" max="7931" width="9" style="1"/>
    <col min="7932" max="7932" width="9.125" style="1" customWidth="1"/>
    <col min="7933" max="7933" width="9.75" style="1" customWidth="1"/>
    <col min="7934" max="7934" width="27.625" style="1" customWidth="1"/>
    <col min="7935" max="7935" width="11.625" style="1" customWidth="1"/>
    <col min="7936" max="7937" width="7.75" style="1" customWidth="1"/>
    <col min="7938" max="7938" width="18.625" style="1" customWidth="1"/>
    <col min="7939" max="7939" width="5.75" style="1" customWidth="1"/>
    <col min="7940" max="7940" width="14.125" style="1" customWidth="1"/>
    <col min="7941" max="7941" width="5.75" style="1" customWidth="1"/>
    <col min="7942" max="8187" width="9" style="1"/>
    <col min="8188" max="8188" width="9.125" style="1" customWidth="1"/>
    <col min="8189" max="8189" width="9.75" style="1" customWidth="1"/>
    <col min="8190" max="8190" width="27.625" style="1" customWidth="1"/>
    <col min="8191" max="8191" width="11.625" style="1" customWidth="1"/>
    <col min="8192" max="8193" width="7.75" style="1" customWidth="1"/>
    <col min="8194" max="8194" width="18.625" style="1" customWidth="1"/>
    <col min="8195" max="8195" width="5.75" style="1" customWidth="1"/>
    <col min="8196" max="8196" width="14.125" style="1" customWidth="1"/>
    <col min="8197" max="8197" width="5.75" style="1" customWidth="1"/>
    <col min="8198" max="8443" width="9" style="1"/>
    <col min="8444" max="8444" width="9.125" style="1" customWidth="1"/>
    <col min="8445" max="8445" width="9.75" style="1" customWidth="1"/>
    <col min="8446" max="8446" width="27.625" style="1" customWidth="1"/>
    <col min="8447" max="8447" width="11.625" style="1" customWidth="1"/>
    <col min="8448" max="8449" width="7.75" style="1" customWidth="1"/>
    <col min="8450" max="8450" width="18.625" style="1" customWidth="1"/>
    <col min="8451" max="8451" width="5.75" style="1" customWidth="1"/>
    <col min="8452" max="8452" width="14.125" style="1" customWidth="1"/>
    <col min="8453" max="8453" width="5.75" style="1" customWidth="1"/>
    <col min="8454" max="8699" width="9" style="1"/>
    <col min="8700" max="8700" width="9.125" style="1" customWidth="1"/>
    <col min="8701" max="8701" width="9.75" style="1" customWidth="1"/>
    <col min="8702" max="8702" width="27.625" style="1" customWidth="1"/>
    <col min="8703" max="8703" width="11.625" style="1" customWidth="1"/>
    <col min="8704" max="8705" width="7.75" style="1" customWidth="1"/>
    <col min="8706" max="8706" width="18.625" style="1" customWidth="1"/>
    <col min="8707" max="8707" width="5.75" style="1" customWidth="1"/>
    <col min="8708" max="8708" width="14.125" style="1" customWidth="1"/>
    <col min="8709" max="8709" width="5.75" style="1" customWidth="1"/>
    <col min="8710" max="8955" width="9" style="1"/>
    <col min="8956" max="8956" width="9.125" style="1" customWidth="1"/>
    <col min="8957" max="8957" width="9.75" style="1" customWidth="1"/>
    <col min="8958" max="8958" width="27.625" style="1" customWidth="1"/>
    <col min="8959" max="8959" width="11.625" style="1" customWidth="1"/>
    <col min="8960" max="8961" width="7.75" style="1" customWidth="1"/>
    <col min="8962" max="8962" width="18.625" style="1" customWidth="1"/>
    <col min="8963" max="8963" width="5.75" style="1" customWidth="1"/>
    <col min="8964" max="8964" width="14.125" style="1" customWidth="1"/>
    <col min="8965" max="8965" width="5.75" style="1" customWidth="1"/>
    <col min="8966" max="9211" width="9" style="1"/>
    <col min="9212" max="9212" width="9.125" style="1" customWidth="1"/>
    <col min="9213" max="9213" width="9.75" style="1" customWidth="1"/>
    <col min="9214" max="9214" width="27.625" style="1" customWidth="1"/>
    <col min="9215" max="9215" width="11.625" style="1" customWidth="1"/>
    <col min="9216" max="9217" width="7.75" style="1" customWidth="1"/>
    <col min="9218" max="9218" width="18.625" style="1" customWidth="1"/>
    <col min="9219" max="9219" width="5.75" style="1" customWidth="1"/>
    <col min="9220" max="9220" width="14.125" style="1" customWidth="1"/>
    <col min="9221" max="9221" width="5.75" style="1" customWidth="1"/>
    <col min="9222" max="9467" width="9" style="1"/>
    <col min="9468" max="9468" width="9.125" style="1" customWidth="1"/>
    <col min="9469" max="9469" width="9.75" style="1" customWidth="1"/>
    <col min="9470" max="9470" width="27.625" style="1" customWidth="1"/>
    <col min="9471" max="9471" width="11.625" style="1" customWidth="1"/>
    <col min="9472" max="9473" width="7.75" style="1" customWidth="1"/>
    <col min="9474" max="9474" width="18.625" style="1" customWidth="1"/>
    <col min="9475" max="9475" width="5.75" style="1" customWidth="1"/>
    <col min="9476" max="9476" width="14.125" style="1" customWidth="1"/>
    <col min="9477" max="9477" width="5.75" style="1" customWidth="1"/>
    <col min="9478" max="9723" width="9" style="1"/>
    <col min="9724" max="9724" width="9.125" style="1" customWidth="1"/>
    <col min="9725" max="9725" width="9.75" style="1" customWidth="1"/>
    <col min="9726" max="9726" width="27.625" style="1" customWidth="1"/>
    <col min="9727" max="9727" width="11.625" style="1" customWidth="1"/>
    <col min="9728" max="9729" width="7.75" style="1" customWidth="1"/>
    <col min="9730" max="9730" width="18.625" style="1" customWidth="1"/>
    <col min="9731" max="9731" width="5.75" style="1" customWidth="1"/>
    <col min="9732" max="9732" width="14.125" style="1" customWidth="1"/>
    <col min="9733" max="9733" width="5.75" style="1" customWidth="1"/>
    <col min="9734" max="9979" width="9" style="1"/>
    <col min="9980" max="9980" width="9.125" style="1" customWidth="1"/>
    <col min="9981" max="9981" width="9.75" style="1" customWidth="1"/>
    <col min="9982" max="9982" width="27.625" style="1" customWidth="1"/>
    <col min="9983" max="9983" width="11.625" style="1" customWidth="1"/>
    <col min="9984" max="9985" width="7.75" style="1" customWidth="1"/>
    <col min="9986" max="9986" width="18.625" style="1" customWidth="1"/>
    <col min="9987" max="9987" width="5.75" style="1" customWidth="1"/>
    <col min="9988" max="9988" width="14.125" style="1" customWidth="1"/>
    <col min="9989" max="9989" width="5.75" style="1" customWidth="1"/>
    <col min="9990" max="10235" width="9" style="1"/>
    <col min="10236" max="10236" width="9.125" style="1" customWidth="1"/>
    <col min="10237" max="10237" width="9.75" style="1" customWidth="1"/>
    <col min="10238" max="10238" width="27.625" style="1" customWidth="1"/>
    <col min="10239" max="10239" width="11.625" style="1" customWidth="1"/>
    <col min="10240" max="10241" width="7.75" style="1" customWidth="1"/>
    <col min="10242" max="10242" width="18.625" style="1" customWidth="1"/>
    <col min="10243" max="10243" width="5.75" style="1" customWidth="1"/>
    <col min="10244" max="10244" width="14.125" style="1" customWidth="1"/>
    <col min="10245" max="10245" width="5.75" style="1" customWidth="1"/>
    <col min="10246" max="10491" width="9" style="1"/>
    <col min="10492" max="10492" width="9.125" style="1" customWidth="1"/>
    <col min="10493" max="10493" width="9.75" style="1" customWidth="1"/>
    <col min="10494" max="10494" width="27.625" style="1" customWidth="1"/>
    <col min="10495" max="10495" width="11.625" style="1" customWidth="1"/>
    <col min="10496" max="10497" width="7.75" style="1" customWidth="1"/>
    <col min="10498" max="10498" width="18.625" style="1" customWidth="1"/>
    <col min="10499" max="10499" width="5.75" style="1" customWidth="1"/>
    <col min="10500" max="10500" width="14.125" style="1" customWidth="1"/>
    <col min="10501" max="10501" width="5.75" style="1" customWidth="1"/>
    <col min="10502" max="10747" width="9" style="1"/>
    <col min="10748" max="10748" width="9.125" style="1" customWidth="1"/>
    <col min="10749" max="10749" width="9.75" style="1" customWidth="1"/>
    <col min="10750" max="10750" width="27.625" style="1" customWidth="1"/>
    <col min="10751" max="10751" width="11.625" style="1" customWidth="1"/>
    <col min="10752" max="10753" width="7.75" style="1" customWidth="1"/>
    <col min="10754" max="10754" width="18.625" style="1" customWidth="1"/>
    <col min="10755" max="10755" width="5.75" style="1" customWidth="1"/>
    <col min="10756" max="10756" width="14.125" style="1" customWidth="1"/>
    <col min="10757" max="10757" width="5.75" style="1" customWidth="1"/>
    <col min="10758" max="11003" width="9" style="1"/>
    <col min="11004" max="11004" width="9.125" style="1" customWidth="1"/>
    <col min="11005" max="11005" width="9.75" style="1" customWidth="1"/>
    <col min="11006" max="11006" width="27.625" style="1" customWidth="1"/>
    <col min="11007" max="11007" width="11.625" style="1" customWidth="1"/>
    <col min="11008" max="11009" width="7.75" style="1" customWidth="1"/>
    <col min="11010" max="11010" width="18.625" style="1" customWidth="1"/>
    <col min="11011" max="11011" width="5.75" style="1" customWidth="1"/>
    <col min="11012" max="11012" width="14.125" style="1" customWidth="1"/>
    <col min="11013" max="11013" width="5.75" style="1" customWidth="1"/>
    <col min="11014" max="11259" width="9" style="1"/>
    <col min="11260" max="11260" width="9.125" style="1" customWidth="1"/>
    <col min="11261" max="11261" width="9.75" style="1" customWidth="1"/>
    <col min="11262" max="11262" width="27.625" style="1" customWidth="1"/>
    <col min="11263" max="11263" width="11.625" style="1" customWidth="1"/>
    <col min="11264" max="11265" width="7.75" style="1" customWidth="1"/>
    <col min="11266" max="11266" width="18.625" style="1" customWidth="1"/>
    <col min="11267" max="11267" width="5.75" style="1" customWidth="1"/>
    <col min="11268" max="11268" width="14.125" style="1" customWidth="1"/>
    <col min="11269" max="11269" width="5.75" style="1" customWidth="1"/>
    <col min="11270" max="11515" width="9" style="1"/>
    <col min="11516" max="11516" width="9.125" style="1" customWidth="1"/>
    <col min="11517" max="11517" width="9.75" style="1" customWidth="1"/>
    <col min="11518" max="11518" width="27.625" style="1" customWidth="1"/>
    <col min="11519" max="11519" width="11.625" style="1" customWidth="1"/>
    <col min="11520" max="11521" width="7.75" style="1" customWidth="1"/>
    <col min="11522" max="11522" width="18.625" style="1" customWidth="1"/>
    <col min="11523" max="11523" width="5.75" style="1" customWidth="1"/>
    <col min="11524" max="11524" width="14.125" style="1" customWidth="1"/>
    <col min="11525" max="11525" width="5.75" style="1" customWidth="1"/>
    <col min="11526" max="11771" width="9" style="1"/>
    <col min="11772" max="11772" width="9.125" style="1" customWidth="1"/>
    <col min="11773" max="11773" width="9.75" style="1" customWidth="1"/>
    <col min="11774" max="11774" width="27.625" style="1" customWidth="1"/>
    <col min="11775" max="11775" width="11.625" style="1" customWidth="1"/>
    <col min="11776" max="11777" width="7.75" style="1" customWidth="1"/>
    <col min="11778" max="11778" width="18.625" style="1" customWidth="1"/>
    <col min="11779" max="11779" width="5.75" style="1" customWidth="1"/>
    <col min="11780" max="11780" width="14.125" style="1" customWidth="1"/>
    <col min="11781" max="11781" width="5.75" style="1" customWidth="1"/>
    <col min="11782" max="12027" width="9" style="1"/>
    <col min="12028" max="12028" width="9.125" style="1" customWidth="1"/>
    <col min="12029" max="12029" width="9.75" style="1" customWidth="1"/>
    <col min="12030" max="12030" width="27.625" style="1" customWidth="1"/>
    <col min="12031" max="12031" width="11.625" style="1" customWidth="1"/>
    <col min="12032" max="12033" width="7.75" style="1" customWidth="1"/>
    <col min="12034" max="12034" width="18.625" style="1" customWidth="1"/>
    <col min="12035" max="12035" width="5.75" style="1" customWidth="1"/>
    <col min="12036" max="12036" width="14.125" style="1" customWidth="1"/>
    <col min="12037" max="12037" width="5.75" style="1" customWidth="1"/>
    <col min="12038" max="12283" width="9" style="1"/>
    <col min="12284" max="12284" width="9.125" style="1" customWidth="1"/>
    <col min="12285" max="12285" width="9.75" style="1" customWidth="1"/>
    <col min="12286" max="12286" width="27.625" style="1" customWidth="1"/>
    <col min="12287" max="12287" width="11.625" style="1" customWidth="1"/>
    <col min="12288" max="12289" width="7.75" style="1" customWidth="1"/>
    <col min="12290" max="12290" width="18.625" style="1" customWidth="1"/>
    <col min="12291" max="12291" width="5.75" style="1" customWidth="1"/>
    <col min="12292" max="12292" width="14.125" style="1" customWidth="1"/>
    <col min="12293" max="12293" width="5.75" style="1" customWidth="1"/>
    <col min="12294" max="12539" width="9" style="1"/>
    <col min="12540" max="12540" width="9.125" style="1" customWidth="1"/>
    <col min="12541" max="12541" width="9.75" style="1" customWidth="1"/>
    <col min="12542" max="12542" width="27.625" style="1" customWidth="1"/>
    <col min="12543" max="12543" width="11.625" style="1" customWidth="1"/>
    <col min="12544" max="12545" width="7.75" style="1" customWidth="1"/>
    <col min="12546" max="12546" width="18.625" style="1" customWidth="1"/>
    <col min="12547" max="12547" width="5.75" style="1" customWidth="1"/>
    <col min="12548" max="12548" width="14.125" style="1" customWidth="1"/>
    <col min="12549" max="12549" width="5.75" style="1" customWidth="1"/>
    <col min="12550" max="12795" width="9" style="1"/>
    <col min="12796" max="12796" width="9.125" style="1" customWidth="1"/>
    <col min="12797" max="12797" width="9.75" style="1" customWidth="1"/>
    <col min="12798" max="12798" width="27.625" style="1" customWidth="1"/>
    <col min="12799" max="12799" width="11.625" style="1" customWidth="1"/>
    <col min="12800" max="12801" width="7.75" style="1" customWidth="1"/>
    <col min="12802" max="12802" width="18.625" style="1" customWidth="1"/>
    <col min="12803" max="12803" width="5.75" style="1" customWidth="1"/>
    <col min="12804" max="12804" width="14.125" style="1" customWidth="1"/>
    <col min="12805" max="12805" width="5.75" style="1" customWidth="1"/>
    <col min="12806" max="13051" width="9" style="1"/>
    <col min="13052" max="13052" width="9.125" style="1" customWidth="1"/>
    <col min="13053" max="13053" width="9.75" style="1" customWidth="1"/>
    <col min="13054" max="13054" width="27.625" style="1" customWidth="1"/>
    <col min="13055" max="13055" width="11.625" style="1" customWidth="1"/>
    <col min="13056" max="13057" width="7.75" style="1" customWidth="1"/>
    <col min="13058" max="13058" width="18.625" style="1" customWidth="1"/>
    <col min="13059" max="13059" width="5.75" style="1" customWidth="1"/>
    <col min="13060" max="13060" width="14.125" style="1" customWidth="1"/>
    <col min="13061" max="13061" width="5.75" style="1" customWidth="1"/>
    <col min="13062" max="13307" width="9" style="1"/>
    <col min="13308" max="13308" width="9.125" style="1" customWidth="1"/>
    <col min="13309" max="13309" width="9.75" style="1" customWidth="1"/>
    <col min="13310" max="13310" width="27.625" style="1" customWidth="1"/>
    <col min="13311" max="13311" width="11.625" style="1" customWidth="1"/>
    <col min="13312" max="13313" width="7.75" style="1" customWidth="1"/>
    <col min="13314" max="13314" width="18.625" style="1" customWidth="1"/>
    <col min="13315" max="13315" width="5.75" style="1" customWidth="1"/>
    <col min="13316" max="13316" width="14.125" style="1" customWidth="1"/>
    <col min="13317" max="13317" width="5.75" style="1" customWidth="1"/>
    <col min="13318" max="13563" width="9" style="1"/>
    <col min="13564" max="13564" width="9.125" style="1" customWidth="1"/>
    <col min="13565" max="13565" width="9.75" style="1" customWidth="1"/>
    <col min="13566" max="13566" width="27.625" style="1" customWidth="1"/>
    <col min="13567" max="13567" width="11.625" style="1" customWidth="1"/>
    <col min="13568" max="13569" width="7.75" style="1" customWidth="1"/>
    <col min="13570" max="13570" width="18.625" style="1" customWidth="1"/>
    <col min="13571" max="13571" width="5.75" style="1" customWidth="1"/>
    <col min="13572" max="13572" width="14.125" style="1" customWidth="1"/>
    <col min="13573" max="13573" width="5.75" style="1" customWidth="1"/>
    <col min="13574" max="13819" width="9" style="1"/>
    <col min="13820" max="13820" width="9.125" style="1" customWidth="1"/>
    <col min="13821" max="13821" width="9.75" style="1" customWidth="1"/>
    <col min="13822" max="13822" width="27.625" style="1" customWidth="1"/>
    <col min="13823" max="13823" width="11.625" style="1" customWidth="1"/>
    <col min="13824" max="13825" width="7.75" style="1" customWidth="1"/>
    <col min="13826" max="13826" width="18.625" style="1" customWidth="1"/>
    <col min="13827" max="13827" width="5.75" style="1" customWidth="1"/>
    <col min="13828" max="13828" width="14.125" style="1" customWidth="1"/>
    <col min="13829" max="13829" width="5.75" style="1" customWidth="1"/>
    <col min="13830" max="14075" width="9" style="1"/>
    <col min="14076" max="14076" width="9.125" style="1" customWidth="1"/>
    <col min="14077" max="14077" width="9.75" style="1" customWidth="1"/>
    <col min="14078" max="14078" width="27.625" style="1" customWidth="1"/>
    <col min="14079" max="14079" width="11.625" style="1" customWidth="1"/>
    <col min="14080" max="14081" width="7.75" style="1" customWidth="1"/>
    <col min="14082" max="14082" width="18.625" style="1" customWidth="1"/>
    <col min="14083" max="14083" width="5.75" style="1" customWidth="1"/>
    <col min="14084" max="14084" width="14.125" style="1" customWidth="1"/>
    <col min="14085" max="14085" width="5.75" style="1" customWidth="1"/>
    <col min="14086" max="14331" width="9" style="1"/>
    <col min="14332" max="14332" width="9.125" style="1" customWidth="1"/>
    <col min="14333" max="14333" width="9.75" style="1" customWidth="1"/>
    <col min="14334" max="14334" width="27.625" style="1" customWidth="1"/>
    <col min="14335" max="14335" width="11.625" style="1" customWidth="1"/>
    <col min="14336" max="14337" width="7.75" style="1" customWidth="1"/>
    <col min="14338" max="14338" width="18.625" style="1" customWidth="1"/>
    <col min="14339" max="14339" width="5.75" style="1" customWidth="1"/>
    <col min="14340" max="14340" width="14.125" style="1" customWidth="1"/>
    <col min="14341" max="14341" width="5.75" style="1" customWidth="1"/>
    <col min="14342" max="14587" width="9" style="1"/>
    <col min="14588" max="14588" width="9.125" style="1" customWidth="1"/>
    <col min="14589" max="14589" width="9.75" style="1" customWidth="1"/>
    <col min="14590" max="14590" width="27.625" style="1" customWidth="1"/>
    <col min="14591" max="14591" width="11.625" style="1" customWidth="1"/>
    <col min="14592" max="14593" width="7.75" style="1" customWidth="1"/>
    <col min="14594" max="14594" width="18.625" style="1" customWidth="1"/>
    <col min="14595" max="14595" width="5.75" style="1" customWidth="1"/>
    <col min="14596" max="14596" width="14.125" style="1" customWidth="1"/>
    <col min="14597" max="14597" width="5.75" style="1" customWidth="1"/>
    <col min="14598" max="14843" width="9" style="1"/>
    <col min="14844" max="14844" width="9.125" style="1" customWidth="1"/>
    <col min="14845" max="14845" width="9.75" style="1" customWidth="1"/>
    <col min="14846" max="14846" width="27.625" style="1" customWidth="1"/>
    <col min="14847" max="14847" width="11.625" style="1" customWidth="1"/>
    <col min="14848" max="14849" width="7.75" style="1" customWidth="1"/>
    <col min="14850" max="14850" width="18.625" style="1" customWidth="1"/>
    <col min="14851" max="14851" width="5.75" style="1" customWidth="1"/>
    <col min="14852" max="14852" width="14.125" style="1" customWidth="1"/>
    <col min="14853" max="14853" width="5.75" style="1" customWidth="1"/>
    <col min="14854" max="15099" width="9" style="1"/>
    <col min="15100" max="15100" width="9.125" style="1" customWidth="1"/>
    <col min="15101" max="15101" width="9.75" style="1" customWidth="1"/>
    <col min="15102" max="15102" width="27.625" style="1" customWidth="1"/>
    <col min="15103" max="15103" width="11.625" style="1" customWidth="1"/>
    <col min="15104" max="15105" width="7.75" style="1" customWidth="1"/>
    <col min="15106" max="15106" width="18.625" style="1" customWidth="1"/>
    <col min="15107" max="15107" width="5.75" style="1" customWidth="1"/>
    <col min="15108" max="15108" width="14.125" style="1" customWidth="1"/>
    <col min="15109" max="15109" width="5.75" style="1" customWidth="1"/>
    <col min="15110" max="15355" width="9" style="1"/>
    <col min="15356" max="15356" width="9.125" style="1" customWidth="1"/>
    <col min="15357" max="15357" width="9.75" style="1" customWidth="1"/>
    <col min="15358" max="15358" width="27.625" style="1" customWidth="1"/>
    <col min="15359" max="15359" width="11.625" style="1" customWidth="1"/>
    <col min="15360" max="15361" width="7.75" style="1" customWidth="1"/>
    <col min="15362" max="15362" width="18.625" style="1" customWidth="1"/>
    <col min="15363" max="15363" width="5.75" style="1" customWidth="1"/>
    <col min="15364" max="15364" width="14.125" style="1" customWidth="1"/>
    <col min="15365" max="15365" width="5.75" style="1" customWidth="1"/>
    <col min="15366" max="15611" width="9" style="1"/>
    <col min="15612" max="15612" width="9.125" style="1" customWidth="1"/>
    <col min="15613" max="15613" width="9.75" style="1" customWidth="1"/>
    <col min="15614" max="15614" width="27.625" style="1" customWidth="1"/>
    <col min="15615" max="15615" width="11.625" style="1" customWidth="1"/>
    <col min="15616" max="15617" width="7.75" style="1" customWidth="1"/>
    <col min="15618" max="15618" width="18.625" style="1" customWidth="1"/>
    <col min="15619" max="15619" width="5.75" style="1" customWidth="1"/>
    <col min="15620" max="15620" width="14.125" style="1" customWidth="1"/>
    <col min="15621" max="15621" width="5.75" style="1" customWidth="1"/>
    <col min="15622" max="15867" width="9" style="1"/>
    <col min="15868" max="15868" width="9.125" style="1" customWidth="1"/>
    <col min="15869" max="15869" width="9.75" style="1" customWidth="1"/>
    <col min="15870" max="15870" width="27.625" style="1" customWidth="1"/>
    <col min="15871" max="15871" width="11.625" style="1" customWidth="1"/>
    <col min="15872" max="15873" width="7.75" style="1" customWidth="1"/>
    <col min="15874" max="15874" width="18.625" style="1" customWidth="1"/>
    <col min="15875" max="15875" width="5.75" style="1" customWidth="1"/>
    <col min="15876" max="15876" width="14.125" style="1" customWidth="1"/>
    <col min="15877" max="15877" width="5.75" style="1" customWidth="1"/>
    <col min="15878" max="16123" width="9" style="1"/>
    <col min="16124" max="16124" width="9.125" style="1" customWidth="1"/>
    <col min="16125" max="16125" width="9.75" style="1" customWidth="1"/>
    <col min="16126" max="16126" width="27.625" style="1" customWidth="1"/>
    <col min="16127" max="16127" width="11.625" style="1" customWidth="1"/>
    <col min="16128" max="16129" width="7.75" style="1" customWidth="1"/>
    <col min="16130" max="16130" width="18.625" style="1" customWidth="1"/>
    <col min="16131" max="16131" width="5.75" style="1" customWidth="1"/>
    <col min="16132" max="16132" width="14.125" style="1" customWidth="1"/>
    <col min="16133" max="16133" width="5.75" style="1" customWidth="1"/>
    <col min="16134" max="16384" width="9" style="1"/>
  </cols>
  <sheetData>
    <row r="1" ht="42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0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.1" customHeight="1" spans="1:8">
      <c r="A3" s="5" t="str">
        <f t="shared" ref="A3:A34" si="0">"221001"</f>
        <v>221001</v>
      </c>
      <c r="B3" s="5" t="str">
        <f>"2022110101"</f>
        <v>2022110101</v>
      </c>
      <c r="C3" s="5" t="str">
        <f>"01"</f>
        <v>01</v>
      </c>
      <c r="D3" s="5" t="str">
        <f>"01"</f>
        <v>01</v>
      </c>
      <c r="E3" s="6">
        <v>120</v>
      </c>
      <c r="F3" s="6">
        <v>111.8</v>
      </c>
      <c r="G3" s="6">
        <v>77.2666666666667</v>
      </c>
      <c r="H3" s="6" t="s">
        <v>9</v>
      </c>
    </row>
    <row r="4" ht="20.1" customHeight="1" spans="1:8">
      <c r="A4" s="5" t="str">
        <f t="shared" si="0"/>
        <v>221001</v>
      </c>
      <c r="B4" s="5" t="str">
        <f>"2022110102"</f>
        <v>2022110102</v>
      </c>
      <c r="C4" s="5" t="str">
        <f t="shared" ref="C4:C32" si="1">"01"</f>
        <v>01</v>
      </c>
      <c r="D4" s="5" t="str">
        <f>"02"</f>
        <v>02</v>
      </c>
      <c r="E4" s="6">
        <v>129</v>
      </c>
      <c r="F4" s="6">
        <v>107.4</v>
      </c>
      <c r="G4" s="6">
        <v>78.8</v>
      </c>
      <c r="H4" s="6"/>
    </row>
    <row r="5" ht="20.1" customHeight="1" spans="1:8">
      <c r="A5" s="5" t="str">
        <f t="shared" si="0"/>
        <v>221001</v>
      </c>
      <c r="B5" s="5" t="str">
        <f>"2022110103"</f>
        <v>2022110103</v>
      </c>
      <c r="C5" s="5" t="str">
        <f t="shared" si="1"/>
        <v>01</v>
      </c>
      <c r="D5" s="5" t="str">
        <f>"03"</f>
        <v>03</v>
      </c>
      <c r="E5" s="6">
        <v>0</v>
      </c>
      <c r="F5" s="6">
        <v>0</v>
      </c>
      <c r="G5" s="6">
        <v>0</v>
      </c>
      <c r="H5" s="6" t="s">
        <v>10</v>
      </c>
    </row>
    <row r="6" ht="20.1" customHeight="1" spans="1:8">
      <c r="A6" s="5" t="str">
        <f t="shared" si="0"/>
        <v>221001</v>
      </c>
      <c r="B6" s="5" t="str">
        <f>"2022110104"</f>
        <v>2022110104</v>
      </c>
      <c r="C6" s="5" t="str">
        <f t="shared" si="1"/>
        <v>01</v>
      </c>
      <c r="D6" s="5" t="str">
        <f>"04"</f>
        <v>04</v>
      </c>
      <c r="E6" s="6">
        <v>0</v>
      </c>
      <c r="F6" s="6">
        <v>0</v>
      </c>
      <c r="G6" s="6">
        <v>0</v>
      </c>
      <c r="H6" s="6" t="s">
        <v>10</v>
      </c>
    </row>
    <row r="7" ht="20.1" customHeight="1" spans="1:8">
      <c r="A7" s="5" t="str">
        <f t="shared" si="0"/>
        <v>221001</v>
      </c>
      <c r="B7" s="5" t="str">
        <f>"2022110105"</f>
        <v>2022110105</v>
      </c>
      <c r="C7" s="5" t="str">
        <f t="shared" si="1"/>
        <v>01</v>
      </c>
      <c r="D7" s="5" t="str">
        <f>"05"</f>
        <v>05</v>
      </c>
      <c r="E7" s="6">
        <v>103.5</v>
      </c>
      <c r="F7" s="6">
        <v>94.2</v>
      </c>
      <c r="G7" s="6">
        <v>65.9</v>
      </c>
      <c r="H7" s="6" t="s">
        <v>9</v>
      </c>
    </row>
    <row r="8" ht="20.1" customHeight="1" spans="1:8">
      <c r="A8" s="5" t="str">
        <f t="shared" si="0"/>
        <v>221001</v>
      </c>
      <c r="B8" s="5" t="str">
        <f>"2022110106"</f>
        <v>2022110106</v>
      </c>
      <c r="C8" s="5" t="str">
        <f t="shared" si="1"/>
        <v>01</v>
      </c>
      <c r="D8" s="5" t="str">
        <f>"06"</f>
        <v>06</v>
      </c>
      <c r="E8" s="6">
        <v>126</v>
      </c>
      <c r="F8" s="6">
        <v>117.9</v>
      </c>
      <c r="G8" s="6">
        <v>81.3</v>
      </c>
      <c r="H8" s="7" t="s">
        <v>11</v>
      </c>
    </row>
    <row r="9" ht="20.1" customHeight="1" spans="1:8">
      <c r="A9" s="5" t="str">
        <f t="shared" si="0"/>
        <v>221001</v>
      </c>
      <c r="B9" s="5" t="str">
        <f>"2022110107"</f>
        <v>2022110107</v>
      </c>
      <c r="C9" s="5" t="str">
        <f t="shared" si="1"/>
        <v>01</v>
      </c>
      <c r="D9" s="5" t="str">
        <f>"07"</f>
        <v>07</v>
      </c>
      <c r="E9" s="6">
        <v>0</v>
      </c>
      <c r="F9" s="6">
        <v>0</v>
      </c>
      <c r="G9" s="6">
        <v>0</v>
      </c>
      <c r="H9" s="6" t="s">
        <v>10</v>
      </c>
    </row>
    <row r="10" ht="20.1" customHeight="1" spans="1:8">
      <c r="A10" s="5" t="str">
        <f t="shared" si="0"/>
        <v>221001</v>
      </c>
      <c r="B10" s="5" t="str">
        <f>"2022110108"</f>
        <v>2022110108</v>
      </c>
      <c r="C10" s="5" t="str">
        <f t="shared" si="1"/>
        <v>01</v>
      </c>
      <c r="D10" s="5" t="str">
        <f>"08"</f>
        <v>08</v>
      </c>
      <c r="E10" s="6">
        <v>0</v>
      </c>
      <c r="F10" s="6">
        <v>0</v>
      </c>
      <c r="G10" s="6">
        <v>0</v>
      </c>
      <c r="H10" s="6" t="s">
        <v>10</v>
      </c>
    </row>
    <row r="11" ht="20.1" customHeight="1" spans="1:8">
      <c r="A11" s="5" t="str">
        <f t="shared" si="0"/>
        <v>221001</v>
      </c>
      <c r="B11" s="5" t="str">
        <f>"2022110109"</f>
        <v>2022110109</v>
      </c>
      <c r="C11" s="5" t="str">
        <f t="shared" si="1"/>
        <v>01</v>
      </c>
      <c r="D11" s="5" t="str">
        <f>"09"</f>
        <v>09</v>
      </c>
      <c r="E11" s="6">
        <v>0</v>
      </c>
      <c r="F11" s="6">
        <v>0</v>
      </c>
      <c r="G11" s="6">
        <v>0</v>
      </c>
      <c r="H11" s="6" t="s">
        <v>10</v>
      </c>
    </row>
    <row r="12" ht="20.1" customHeight="1" spans="1:8">
      <c r="A12" s="5" t="str">
        <f t="shared" si="0"/>
        <v>221001</v>
      </c>
      <c r="B12" s="5" t="str">
        <f>"2022110110"</f>
        <v>2022110110</v>
      </c>
      <c r="C12" s="5" t="str">
        <f t="shared" si="1"/>
        <v>01</v>
      </c>
      <c r="D12" s="5" t="str">
        <f>"10"</f>
        <v>10</v>
      </c>
      <c r="E12" s="6">
        <v>121.5</v>
      </c>
      <c r="F12" s="6">
        <v>111.6</v>
      </c>
      <c r="G12" s="6">
        <v>77.7</v>
      </c>
      <c r="H12" s="6" t="s">
        <v>9</v>
      </c>
    </row>
    <row r="13" ht="20.1" customHeight="1" spans="1:8">
      <c r="A13" s="5" t="str">
        <f t="shared" si="0"/>
        <v>221001</v>
      </c>
      <c r="B13" s="5" t="str">
        <f>"2022110111"</f>
        <v>2022110111</v>
      </c>
      <c r="C13" s="5" t="str">
        <f t="shared" si="1"/>
        <v>01</v>
      </c>
      <c r="D13" s="5" t="str">
        <f>"11"</f>
        <v>11</v>
      </c>
      <c r="E13" s="6">
        <v>0</v>
      </c>
      <c r="F13" s="6">
        <v>0</v>
      </c>
      <c r="G13" s="6">
        <v>0</v>
      </c>
      <c r="H13" s="6" t="s">
        <v>10</v>
      </c>
    </row>
    <row r="14" ht="20.1" customHeight="1" spans="1:8">
      <c r="A14" s="5" t="str">
        <f t="shared" si="0"/>
        <v>221001</v>
      </c>
      <c r="B14" s="5" t="str">
        <f>"2022110112"</f>
        <v>2022110112</v>
      </c>
      <c r="C14" s="5" t="str">
        <f t="shared" si="1"/>
        <v>01</v>
      </c>
      <c r="D14" s="5" t="str">
        <f>"12"</f>
        <v>12</v>
      </c>
      <c r="E14" s="6">
        <v>115.5</v>
      </c>
      <c r="F14" s="6">
        <v>91.2</v>
      </c>
      <c r="G14" s="6">
        <v>68.9</v>
      </c>
      <c r="H14" s="6" t="s">
        <v>9</v>
      </c>
    </row>
    <row r="15" ht="20.1" customHeight="1" spans="1:8">
      <c r="A15" s="5" t="str">
        <f t="shared" si="0"/>
        <v>221001</v>
      </c>
      <c r="B15" s="5" t="str">
        <f>"2022110113"</f>
        <v>2022110113</v>
      </c>
      <c r="C15" s="5" t="str">
        <f t="shared" si="1"/>
        <v>01</v>
      </c>
      <c r="D15" s="5" t="str">
        <f>"13"</f>
        <v>13</v>
      </c>
      <c r="E15" s="6">
        <v>118.5</v>
      </c>
      <c r="F15" s="6">
        <v>114</v>
      </c>
      <c r="G15" s="6">
        <v>77.5</v>
      </c>
      <c r="H15" s="6" t="s">
        <v>9</v>
      </c>
    </row>
    <row r="16" ht="20.1" customHeight="1" spans="1:8">
      <c r="A16" s="5" t="str">
        <f t="shared" si="0"/>
        <v>221001</v>
      </c>
      <c r="B16" s="5" t="str">
        <f>"2022110114"</f>
        <v>2022110114</v>
      </c>
      <c r="C16" s="5" t="str">
        <f t="shared" si="1"/>
        <v>01</v>
      </c>
      <c r="D16" s="5" t="str">
        <f>"14"</f>
        <v>14</v>
      </c>
      <c r="E16" s="6">
        <v>112.5</v>
      </c>
      <c r="F16" s="6">
        <v>96.2</v>
      </c>
      <c r="G16" s="6">
        <v>69.5666666666667</v>
      </c>
      <c r="H16" s="6" t="s">
        <v>9</v>
      </c>
    </row>
    <row r="17" ht="20.1" customHeight="1" spans="1:8">
      <c r="A17" s="5" t="str">
        <f t="shared" si="0"/>
        <v>221001</v>
      </c>
      <c r="B17" s="5" t="str">
        <f>"2022110115"</f>
        <v>2022110115</v>
      </c>
      <c r="C17" s="5" t="str">
        <f t="shared" si="1"/>
        <v>01</v>
      </c>
      <c r="D17" s="5" t="str">
        <f>"15"</f>
        <v>15</v>
      </c>
      <c r="E17" s="6">
        <v>111</v>
      </c>
      <c r="F17" s="6">
        <v>97.7</v>
      </c>
      <c r="G17" s="6">
        <v>69.5666666666667</v>
      </c>
      <c r="H17" s="6" t="s">
        <v>9</v>
      </c>
    </row>
    <row r="18" ht="20.1" customHeight="1" spans="1:8">
      <c r="A18" s="5" t="str">
        <f t="shared" si="0"/>
        <v>221001</v>
      </c>
      <c r="B18" s="5" t="str">
        <f>"2022110116"</f>
        <v>2022110116</v>
      </c>
      <c r="C18" s="5" t="str">
        <f t="shared" si="1"/>
        <v>01</v>
      </c>
      <c r="D18" s="5" t="str">
        <f>"16"</f>
        <v>16</v>
      </c>
      <c r="E18" s="6">
        <v>118.5</v>
      </c>
      <c r="F18" s="6">
        <v>98.4</v>
      </c>
      <c r="G18" s="6">
        <v>72.3</v>
      </c>
      <c r="H18" s="6" t="s">
        <v>9</v>
      </c>
    </row>
    <row r="19" ht="20.1" customHeight="1" spans="1:8">
      <c r="A19" s="5" t="str">
        <f t="shared" si="0"/>
        <v>221001</v>
      </c>
      <c r="B19" s="5" t="str">
        <f>"2022110117"</f>
        <v>2022110117</v>
      </c>
      <c r="C19" s="5" t="str">
        <f t="shared" si="1"/>
        <v>01</v>
      </c>
      <c r="D19" s="5" t="str">
        <f>"17"</f>
        <v>17</v>
      </c>
      <c r="E19" s="6">
        <v>108</v>
      </c>
      <c r="F19" s="6">
        <v>102.4</v>
      </c>
      <c r="G19" s="6">
        <v>70.1333333333333</v>
      </c>
      <c r="H19" s="6" t="s">
        <v>9</v>
      </c>
    </row>
    <row r="20" ht="20.1" customHeight="1" spans="1:8">
      <c r="A20" s="5" t="str">
        <f t="shared" si="0"/>
        <v>221001</v>
      </c>
      <c r="B20" s="5" t="str">
        <f>"2022110118"</f>
        <v>2022110118</v>
      </c>
      <c r="C20" s="5" t="str">
        <f t="shared" si="1"/>
        <v>01</v>
      </c>
      <c r="D20" s="5" t="str">
        <f>"18"</f>
        <v>18</v>
      </c>
      <c r="E20" s="6">
        <v>120</v>
      </c>
      <c r="F20" s="6">
        <v>113.4</v>
      </c>
      <c r="G20" s="6">
        <v>77.8</v>
      </c>
      <c r="H20" s="6" t="s">
        <v>9</v>
      </c>
    </row>
    <row r="21" ht="20.1" customHeight="1" spans="1:8">
      <c r="A21" s="5" t="str">
        <f t="shared" si="0"/>
        <v>221001</v>
      </c>
      <c r="B21" s="5" t="str">
        <f>"2022110119"</f>
        <v>2022110119</v>
      </c>
      <c r="C21" s="5" t="str">
        <f t="shared" si="1"/>
        <v>01</v>
      </c>
      <c r="D21" s="5" t="str">
        <f>"19"</f>
        <v>19</v>
      </c>
      <c r="E21" s="6">
        <v>0</v>
      </c>
      <c r="F21" s="6">
        <v>0</v>
      </c>
      <c r="G21" s="6">
        <v>0</v>
      </c>
      <c r="H21" s="6" t="s">
        <v>10</v>
      </c>
    </row>
    <row r="22" ht="20.1" customHeight="1" spans="1:8">
      <c r="A22" s="5" t="str">
        <f t="shared" si="0"/>
        <v>221001</v>
      </c>
      <c r="B22" s="5" t="str">
        <f>"2022110120"</f>
        <v>2022110120</v>
      </c>
      <c r="C22" s="5" t="str">
        <f t="shared" si="1"/>
        <v>01</v>
      </c>
      <c r="D22" s="5" t="str">
        <f>"20"</f>
        <v>20</v>
      </c>
      <c r="E22" s="6">
        <v>0</v>
      </c>
      <c r="F22" s="6">
        <v>0</v>
      </c>
      <c r="G22" s="6">
        <v>0</v>
      </c>
      <c r="H22" s="6" t="s">
        <v>10</v>
      </c>
    </row>
    <row r="23" ht="20.1" customHeight="1" spans="1:8">
      <c r="A23" s="5" t="str">
        <f t="shared" si="0"/>
        <v>221001</v>
      </c>
      <c r="B23" s="5" t="str">
        <f>"2022110121"</f>
        <v>2022110121</v>
      </c>
      <c r="C23" s="5" t="str">
        <f t="shared" si="1"/>
        <v>01</v>
      </c>
      <c r="D23" s="5" t="str">
        <f>"21"</f>
        <v>21</v>
      </c>
      <c r="E23" s="6">
        <v>127.5</v>
      </c>
      <c r="F23" s="6">
        <v>103.3</v>
      </c>
      <c r="G23" s="6">
        <v>76.9333333333333</v>
      </c>
      <c r="H23" s="6" t="s">
        <v>9</v>
      </c>
    </row>
    <row r="24" ht="20.1" customHeight="1" spans="1:8">
      <c r="A24" s="5" t="str">
        <f t="shared" si="0"/>
        <v>221001</v>
      </c>
      <c r="B24" s="5" t="str">
        <f>"2022110122"</f>
        <v>2022110122</v>
      </c>
      <c r="C24" s="5" t="str">
        <f t="shared" si="1"/>
        <v>01</v>
      </c>
      <c r="D24" s="5" t="str">
        <f>"22"</f>
        <v>22</v>
      </c>
      <c r="E24" s="6">
        <v>0</v>
      </c>
      <c r="F24" s="6">
        <v>0</v>
      </c>
      <c r="G24" s="6">
        <v>0</v>
      </c>
      <c r="H24" s="6" t="s">
        <v>10</v>
      </c>
    </row>
    <row r="25" ht="20.1" customHeight="1" spans="1:8">
      <c r="A25" s="5" t="str">
        <f t="shared" si="0"/>
        <v>221001</v>
      </c>
      <c r="B25" s="5" t="str">
        <f>"2022110123"</f>
        <v>2022110123</v>
      </c>
      <c r="C25" s="5" t="str">
        <f t="shared" si="1"/>
        <v>01</v>
      </c>
      <c r="D25" s="5" t="str">
        <f>"23"</f>
        <v>23</v>
      </c>
      <c r="E25" s="6">
        <v>91.5</v>
      </c>
      <c r="F25" s="6">
        <v>81.8</v>
      </c>
      <c r="G25" s="6">
        <v>57.7666666666667</v>
      </c>
      <c r="H25" s="6" t="s">
        <v>9</v>
      </c>
    </row>
    <row r="26" ht="20.1" customHeight="1" spans="1:8">
      <c r="A26" s="5" t="str">
        <f t="shared" si="0"/>
        <v>221001</v>
      </c>
      <c r="B26" s="5" t="str">
        <f>"2022110124"</f>
        <v>2022110124</v>
      </c>
      <c r="C26" s="5" t="str">
        <f t="shared" si="1"/>
        <v>01</v>
      </c>
      <c r="D26" s="5" t="str">
        <f>"24"</f>
        <v>24</v>
      </c>
      <c r="E26" s="6">
        <v>0</v>
      </c>
      <c r="F26" s="6">
        <v>0</v>
      </c>
      <c r="G26" s="6">
        <v>0</v>
      </c>
      <c r="H26" s="6" t="s">
        <v>10</v>
      </c>
    </row>
    <row r="27" ht="20.1" customHeight="1" spans="1:8">
      <c r="A27" s="5" t="str">
        <f t="shared" si="0"/>
        <v>221001</v>
      </c>
      <c r="B27" s="5" t="str">
        <f>"2022110125"</f>
        <v>2022110125</v>
      </c>
      <c r="C27" s="5" t="str">
        <f t="shared" si="1"/>
        <v>01</v>
      </c>
      <c r="D27" s="5" t="str">
        <f>"25"</f>
        <v>25</v>
      </c>
      <c r="E27" s="6">
        <v>121.5</v>
      </c>
      <c r="F27" s="6">
        <v>110.3</v>
      </c>
      <c r="G27" s="6">
        <v>77.2666666666667</v>
      </c>
      <c r="H27" s="6" t="s">
        <v>9</v>
      </c>
    </row>
    <row r="28" ht="20.1" customHeight="1" spans="1:8">
      <c r="A28" s="5" t="str">
        <f t="shared" si="0"/>
        <v>221001</v>
      </c>
      <c r="B28" s="5" t="str">
        <f>"2022110126"</f>
        <v>2022110126</v>
      </c>
      <c r="C28" s="5" t="str">
        <f t="shared" si="1"/>
        <v>01</v>
      </c>
      <c r="D28" s="5" t="str">
        <f>"26"</f>
        <v>26</v>
      </c>
      <c r="E28" s="6">
        <v>108</v>
      </c>
      <c r="F28" s="6">
        <v>100.6</v>
      </c>
      <c r="G28" s="6">
        <v>69.5333333333333</v>
      </c>
      <c r="H28" s="6" t="s">
        <v>9</v>
      </c>
    </row>
    <row r="29" ht="20.1" customHeight="1" spans="1:8">
      <c r="A29" s="5" t="str">
        <f t="shared" si="0"/>
        <v>221001</v>
      </c>
      <c r="B29" s="5" t="str">
        <f>"2022110127"</f>
        <v>2022110127</v>
      </c>
      <c r="C29" s="5" t="str">
        <f t="shared" si="1"/>
        <v>01</v>
      </c>
      <c r="D29" s="5" t="str">
        <f>"27"</f>
        <v>27</v>
      </c>
      <c r="E29" s="6">
        <v>106.5</v>
      </c>
      <c r="F29" s="6">
        <v>109.9</v>
      </c>
      <c r="G29" s="6">
        <v>72.1333333333333</v>
      </c>
      <c r="H29" s="6" t="s">
        <v>9</v>
      </c>
    </row>
    <row r="30" ht="20.1" customHeight="1" spans="1:8">
      <c r="A30" s="5" t="str">
        <f t="shared" si="0"/>
        <v>221001</v>
      </c>
      <c r="B30" s="5" t="str">
        <f>"2022110128"</f>
        <v>2022110128</v>
      </c>
      <c r="C30" s="5" t="str">
        <f t="shared" si="1"/>
        <v>01</v>
      </c>
      <c r="D30" s="5" t="str">
        <f>"28"</f>
        <v>28</v>
      </c>
      <c r="E30" s="6">
        <v>109.5</v>
      </c>
      <c r="F30" s="6">
        <v>112.7</v>
      </c>
      <c r="G30" s="6">
        <v>74.0666666666667</v>
      </c>
      <c r="H30" s="6" t="s">
        <v>9</v>
      </c>
    </row>
    <row r="31" ht="20.1" customHeight="1" spans="1:8">
      <c r="A31" s="5" t="str">
        <f t="shared" si="0"/>
        <v>221001</v>
      </c>
      <c r="B31" s="5" t="str">
        <f>"2022110129"</f>
        <v>2022110129</v>
      </c>
      <c r="C31" s="5" t="str">
        <f t="shared" si="1"/>
        <v>01</v>
      </c>
      <c r="D31" s="5" t="str">
        <f>"29"</f>
        <v>29</v>
      </c>
      <c r="E31" s="6">
        <v>108</v>
      </c>
      <c r="F31" s="6">
        <v>115.2</v>
      </c>
      <c r="G31" s="6">
        <v>74.4</v>
      </c>
      <c r="H31" s="6" t="s">
        <v>9</v>
      </c>
    </row>
    <row r="32" ht="20.1" customHeight="1" spans="1:8">
      <c r="A32" s="5" t="str">
        <f t="shared" si="0"/>
        <v>221001</v>
      </c>
      <c r="B32" s="5" t="str">
        <f>"2022110130"</f>
        <v>2022110130</v>
      </c>
      <c r="C32" s="5" t="str">
        <f t="shared" si="1"/>
        <v>01</v>
      </c>
      <c r="D32" s="5" t="str">
        <f>"30"</f>
        <v>30</v>
      </c>
      <c r="E32" s="6">
        <v>139.5</v>
      </c>
      <c r="F32" s="6">
        <v>109.3</v>
      </c>
      <c r="G32" s="6">
        <v>82.9333333333333</v>
      </c>
      <c r="H32" s="7" t="s">
        <v>11</v>
      </c>
    </row>
    <row r="33" ht="20.1" customHeight="1" spans="1:8">
      <c r="A33" s="5" t="str">
        <f t="shared" si="0"/>
        <v>221001</v>
      </c>
      <c r="B33" s="5" t="str">
        <f>"2022110201"</f>
        <v>2022110201</v>
      </c>
      <c r="C33" s="5" t="str">
        <f t="shared" ref="C33:C62" si="2">"02"</f>
        <v>02</v>
      </c>
      <c r="D33" s="5" t="str">
        <f>"01"</f>
        <v>01</v>
      </c>
      <c r="E33" s="6">
        <v>114</v>
      </c>
      <c r="F33" s="6">
        <v>101.8</v>
      </c>
      <c r="G33" s="6">
        <v>71.9333333333333</v>
      </c>
      <c r="H33" s="6" t="s">
        <v>9</v>
      </c>
    </row>
    <row r="34" ht="20.1" customHeight="1" spans="1:8">
      <c r="A34" s="5" t="str">
        <f t="shared" si="0"/>
        <v>221001</v>
      </c>
      <c r="B34" s="5" t="str">
        <f>"2022110202"</f>
        <v>2022110202</v>
      </c>
      <c r="C34" s="5" t="str">
        <f t="shared" si="2"/>
        <v>02</v>
      </c>
      <c r="D34" s="5" t="str">
        <f>"02"</f>
        <v>02</v>
      </c>
      <c r="E34" s="6">
        <v>130.5</v>
      </c>
      <c r="F34" s="6">
        <v>105.5</v>
      </c>
      <c r="G34" s="6">
        <v>78.6666666666667</v>
      </c>
      <c r="H34" s="6" t="s">
        <v>9</v>
      </c>
    </row>
    <row r="35" ht="20.1" customHeight="1" spans="1:8">
      <c r="A35" s="5" t="str">
        <f t="shared" ref="A35:A66" si="3">"221001"</f>
        <v>221001</v>
      </c>
      <c r="B35" s="5" t="str">
        <f>"2022110203"</f>
        <v>2022110203</v>
      </c>
      <c r="C35" s="5" t="str">
        <f t="shared" si="2"/>
        <v>02</v>
      </c>
      <c r="D35" s="5" t="str">
        <f>"03"</f>
        <v>03</v>
      </c>
      <c r="E35" s="6">
        <v>118.5</v>
      </c>
      <c r="F35" s="6">
        <v>74.7</v>
      </c>
      <c r="G35" s="6">
        <v>64.4</v>
      </c>
      <c r="H35" s="6" t="s">
        <v>9</v>
      </c>
    </row>
    <row r="36" ht="20.1" customHeight="1" spans="1:8">
      <c r="A36" s="5" t="str">
        <f t="shared" si="3"/>
        <v>221001</v>
      </c>
      <c r="B36" s="5" t="str">
        <f>"2022110204"</f>
        <v>2022110204</v>
      </c>
      <c r="C36" s="5" t="str">
        <f t="shared" si="2"/>
        <v>02</v>
      </c>
      <c r="D36" s="5" t="str">
        <f>"04"</f>
        <v>04</v>
      </c>
      <c r="E36" s="6">
        <v>118.5</v>
      </c>
      <c r="F36" s="6">
        <v>110.9</v>
      </c>
      <c r="G36" s="6">
        <v>76.4666666666667</v>
      </c>
      <c r="H36" s="6" t="s">
        <v>9</v>
      </c>
    </row>
    <row r="37" ht="20.1" customHeight="1" spans="1:8">
      <c r="A37" s="5" t="str">
        <f t="shared" si="3"/>
        <v>221001</v>
      </c>
      <c r="B37" s="5" t="str">
        <f>"2022110205"</f>
        <v>2022110205</v>
      </c>
      <c r="C37" s="5" t="str">
        <f t="shared" si="2"/>
        <v>02</v>
      </c>
      <c r="D37" s="5" t="str">
        <f>"05"</f>
        <v>05</v>
      </c>
      <c r="E37" s="6">
        <v>0</v>
      </c>
      <c r="F37" s="6">
        <v>0</v>
      </c>
      <c r="G37" s="6">
        <v>0</v>
      </c>
      <c r="H37" s="6" t="s">
        <v>10</v>
      </c>
    </row>
    <row r="38" ht="20.1" customHeight="1" spans="1:8">
      <c r="A38" s="5" t="str">
        <f t="shared" si="3"/>
        <v>221001</v>
      </c>
      <c r="B38" s="5" t="str">
        <f>"2022110206"</f>
        <v>2022110206</v>
      </c>
      <c r="C38" s="5" t="str">
        <f t="shared" si="2"/>
        <v>02</v>
      </c>
      <c r="D38" s="5" t="str">
        <f>"06"</f>
        <v>06</v>
      </c>
      <c r="E38" s="6">
        <v>108</v>
      </c>
      <c r="F38" s="6">
        <v>103.2</v>
      </c>
      <c r="G38" s="6">
        <v>70.4</v>
      </c>
      <c r="H38" s="6" t="s">
        <v>9</v>
      </c>
    </row>
    <row r="39" ht="20.1" customHeight="1" spans="1:8">
      <c r="A39" s="5" t="str">
        <f t="shared" si="3"/>
        <v>221001</v>
      </c>
      <c r="B39" s="5" t="str">
        <f>"2022110207"</f>
        <v>2022110207</v>
      </c>
      <c r="C39" s="5" t="str">
        <f t="shared" si="2"/>
        <v>02</v>
      </c>
      <c r="D39" s="5" t="str">
        <f>"07"</f>
        <v>07</v>
      </c>
      <c r="E39" s="6">
        <v>118.5</v>
      </c>
      <c r="F39" s="6">
        <v>110.5</v>
      </c>
      <c r="G39" s="6">
        <v>76.3333333333333</v>
      </c>
      <c r="H39" s="6" t="s">
        <v>9</v>
      </c>
    </row>
    <row r="40" ht="20.1" customHeight="1" spans="1:8">
      <c r="A40" s="5" t="str">
        <f t="shared" si="3"/>
        <v>221001</v>
      </c>
      <c r="B40" s="5" t="str">
        <f>"2022110208"</f>
        <v>2022110208</v>
      </c>
      <c r="C40" s="5" t="str">
        <f t="shared" si="2"/>
        <v>02</v>
      </c>
      <c r="D40" s="5" t="str">
        <f>"08"</f>
        <v>08</v>
      </c>
      <c r="E40" s="6">
        <v>0</v>
      </c>
      <c r="F40" s="6">
        <v>0</v>
      </c>
      <c r="G40" s="6">
        <v>0</v>
      </c>
      <c r="H40" s="6" t="s">
        <v>10</v>
      </c>
    </row>
    <row r="41" ht="20.1" customHeight="1" spans="1:8">
      <c r="A41" s="5" t="str">
        <f t="shared" si="3"/>
        <v>221001</v>
      </c>
      <c r="B41" s="5" t="str">
        <f>"2022110209"</f>
        <v>2022110209</v>
      </c>
      <c r="C41" s="5" t="str">
        <f t="shared" si="2"/>
        <v>02</v>
      </c>
      <c r="D41" s="5" t="str">
        <f>"09"</f>
        <v>09</v>
      </c>
      <c r="E41" s="6">
        <v>126</v>
      </c>
      <c r="F41" s="6">
        <v>115.2</v>
      </c>
      <c r="G41" s="6">
        <v>80.4</v>
      </c>
      <c r="H41" s="6" t="s">
        <v>9</v>
      </c>
    </row>
    <row r="42" ht="20.1" customHeight="1" spans="1:8">
      <c r="A42" s="5" t="str">
        <f t="shared" si="3"/>
        <v>221001</v>
      </c>
      <c r="B42" s="5" t="str">
        <f>"2022110210"</f>
        <v>2022110210</v>
      </c>
      <c r="C42" s="5" t="str">
        <f t="shared" si="2"/>
        <v>02</v>
      </c>
      <c r="D42" s="5" t="str">
        <f>"10"</f>
        <v>10</v>
      </c>
      <c r="E42" s="6">
        <v>123</v>
      </c>
      <c r="F42" s="6">
        <v>97.1</v>
      </c>
      <c r="G42" s="6">
        <v>73.3666666666667</v>
      </c>
      <c r="H42" s="6" t="s">
        <v>9</v>
      </c>
    </row>
    <row r="43" ht="20.1" customHeight="1" spans="1:8">
      <c r="A43" s="5" t="str">
        <f t="shared" si="3"/>
        <v>221001</v>
      </c>
      <c r="B43" s="5" t="str">
        <f>"2022110211"</f>
        <v>2022110211</v>
      </c>
      <c r="C43" s="5" t="str">
        <f t="shared" si="2"/>
        <v>02</v>
      </c>
      <c r="D43" s="5" t="str">
        <f>"11"</f>
        <v>11</v>
      </c>
      <c r="E43" s="6">
        <v>105</v>
      </c>
      <c r="F43" s="6">
        <v>98.9</v>
      </c>
      <c r="G43" s="6">
        <v>67.9666666666667</v>
      </c>
      <c r="H43" s="6" t="s">
        <v>9</v>
      </c>
    </row>
    <row r="44" ht="20.1" customHeight="1" spans="1:8">
      <c r="A44" s="5" t="str">
        <f t="shared" si="3"/>
        <v>221001</v>
      </c>
      <c r="B44" s="5" t="str">
        <f>"2022110212"</f>
        <v>2022110212</v>
      </c>
      <c r="C44" s="5" t="str">
        <f t="shared" si="2"/>
        <v>02</v>
      </c>
      <c r="D44" s="5" t="str">
        <f>"12"</f>
        <v>12</v>
      </c>
      <c r="E44" s="6">
        <v>117</v>
      </c>
      <c r="F44" s="6">
        <v>107.9</v>
      </c>
      <c r="G44" s="6">
        <v>74.9666666666667</v>
      </c>
      <c r="H44" s="6" t="s">
        <v>9</v>
      </c>
    </row>
    <row r="45" ht="20.1" customHeight="1" spans="1:8">
      <c r="A45" s="5" t="str">
        <f t="shared" si="3"/>
        <v>221001</v>
      </c>
      <c r="B45" s="5" t="str">
        <f>"2022110213"</f>
        <v>2022110213</v>
      </c>
      <c r="C45" s="5" t="str">
        <f t="shared" si="2"/>
        <v>02</v>
      </c>
      <c r="D45" s="5" t="str">
        <f>"13"</f>
        <v>13</v>
      </c>
      <c r="E45" s="6">
        <v>112.5</v>
      </c>
      <c r="F45" s="6">
        <v>107</v>
      </c>
      <c r="G45" s="6">
        <v>73.1666666666667</v>
      </c>
      <c r="H45" s="6" t="s">
        <v>9</v>
      </c>
    </row>
    <row r="46" ht="20.1" customHeight="1" spans="1:8">
      <c r="A46" s="5" t="str">
        <f t="shared" si="3"/>
        <v>221001</v>
      </c>
      <c r="B46" s="5" t="str">
        <f>"2022110214"</f>
        <v>2022110214</v>
      </c>
      <c r="C46" s="5" t="str">
        <f t="shared" si="2"/>
        <v>02</v>
      </c>
      <c r="D46" s="5" t="str">
        <f>"14"</f>
        <v>14</v>
      </c>
      <c r="E46" s="6">
        <v>0</v>
      </c>
      <c r="F46" s="6">
        <v>0</v>
      </c>
      <c r="G46" s="6">
        <v>0</v>
      </c>
      <c r="H46" s="6" t="s">
        <v>10</v>
      </c>
    </row>
    <row r="47" ht="20.1" customHeight="1" spans="1:8">
      <c r="A47" s="5" t="str">
        <f t="shared" si="3"/>
        <v>221001</v>
      </c>
      <c r="B47" s="5" t="str">
        <f>"2022110215"</f>
        <v>2022110215</v>
      </c>
      <c r="C47" s="5" t="str">
        <f t="shared" si="2"/>
        <v>02</v>
      </c>
      <c r="D47" s="5" t="str">
        <f>"15"</f>
        <v>15</v>
      </c>
      <c r="E47" s="6">
        <v>0</v>
      </c>
      <c r="F47" s="6">
        <v>0</v>
      </c>
      <c r="G47" s="6">
        <v>0</v>
      </c>
      <c r="H47" s="6" t="s">
        <v>10</v>
      </c>
    </row>
    <row r="48" ht="20.1" customHeight="1" spans="1:8">
      <c r="A48" s="5" t="str">
        <f t="shared" si="3"/>
        <v>221001</v>
      </c>
      <c r="B48" s="5" t="str">
        <f>"2022110216"</f>
        <v>2022110216</v>
      </c>
      <c r="C48" s="5" t="str">
        <f t="shared" si="2"/>
        <v>02</v>
      </c>
      <c r="D48" s="5" t="str">
        <f>"16"</f>
        <v>16</v>
      </c>
      <c r="E48" s="6">
        <v>0</v>
      </c>
      <c r="F48" s="6">
        <v>0</v>
      </c>
      <c r="G48" s="6">
        <v>0</v>
      </c>
      <c r="H48" s="6" t="s">
        <v>10</v>
      </c>
    </row>
    <row r="49" ht="20.1" customHeight="1" spans="1:8">
      <c r="A49" s="5" t="str">
        <f t="shared" si="3"/>
        <v>221001</v>
      </c>
      <c r="B49" s="5" t="str">
        <f>"2022110217"</f>
        <v>2022110217</v>
      </c>
      <c r="C49" s="5" t="str">
        <f t="shared" si="2"/>
        <v>02</v>
      </c>
      <c r="D49" s="5" t="str">
        <f>"17"</f>
        <v>17</v>
      </c>
      <c r="E49" s="6">
        <v>126</v>
      </c>
      <c r="F49" s="6">
        <v>115.9</v>
      </c>
      <c r="G49" s="6">
        <v>80.6333333333333</v>
      </c>
      <c r="H49" s="7" t="s">
        <v>11</v>
      </c>
    </row>
    <row r="50" ht="20.1" customHeight="1" spans="1:8">
      <c r="A50" s="5" t="str">
        <f t="shared" si="3"/>
        <v>221001</v>
      </c>
      <c r="B50" s="5" t="str">
        <f>"2022110218"</f>
        <v>2022110218</v>
      </c>
      <c r="C50" s="5" t="str">
        <f t="shared" si="2"/>
        <v>02</v>
      </c>
      <c r="D50" s="5" t="str">
        <f>"18"</f>
        <v>18</v>
      </c>
      <c r="E50" s="6">
        <v>0</v>
      </c>
      <c r="F50" s="6">
        <v>0</v>
      </c>
      <c r="G50" s="6">
        <v>0</v>
      </c>
      <c r="H50" s="6" t="s">
        <v>10</v>
      </c>
    </row>
    <row r="51" ht="20.1" customHeight="1" spans="1:8">
      <c r="A51" s="5" t="str">
        <f t="shared" si="3"/>
        <v>221001</v>
      </c>
      <c r="B51" s="5" t="str">
        <f>"2022110219"</f>
        <v>2022110219</v>
      </c>
      <c r="C51" s="5" t="str">
        <f t="shared" si="2"/>
        <v>02</v>
      </c>
      <c r="D51" s="5" t="str">
        <f>"19"</f>
        <v>19</v>
      </c>
      <c r="E51" s="6">
        <v>109.5</v>
      </c>
      <c r="F51" s="6">
        <v>103.9</v>
      </c>
      <c r="G51" s="6">
        <v>71.1333333333333</v>
      </c>
      <c r="H51" s="6" t="s">
        <v>9</v>
      </c>
    </row>
    <row r="52" ht="20.1" customHeight="1" spans="1:8">
      <c r="A52" s="5" t="str">
        <f t="shared" si="3"/>
        <v>221001</v>
      </c>
      <c r="B52" s="5" t="str">
        <f>"2022110220"</f>
        <v>2022110220</v>
      </c>
      <c r="C52" s="5" t="str">
        <f t="shared" si="2"/>
        <v>02</v>
      </c>
      <c r="D52" s="5" t="str">
        <f>"20"</f>
        <v>20</v>
      </c>
      <c r="E52" s="6">
        <v>105</v>
      </c>
      <c r="F52" s="6">
        <v>96.6</v>
      </c>
      <c r="G52" s="6">
        <v>67.2</v>
      </c>
      <c r="H52" s="6" t="s">
        <v>9</v>
      </c>
    </row>
    <row r="53" ht="20.1" customHeight="1" spans="1:8">
      <c r="A53" s="5" t="str">
        <f t="shared" si="3"/>
        <v>221001</v>
      </c>
      <c r="B53" s="5" t="str">
        <f>"2022110221"</f>
        <v>2022110221</v>
      </c>
      <c r="C53" s="5" t="str">
        <f t="shared" si="2"/>
        <v>02</v>
      </c>
      <c r="D53" s="5" t="str">
        <f>"21"</f>
        <v>21</v>
      </c>
      <c r="E53" s="6">
        <v>0</v>
      </c>
      <c r="F53" s="6">
        <v>0</v>
      </c>
      <c r="G53" s="6">
        <v>0</v>
      </c>
      <c r="H53" s="6" t="s">
        <v>10</v>
      </c>
    </row>
    <row r="54" ht="20.1" customHeight="1" spans="1:8">
      <c r="A54" s="5" t="str">
        <f t="shared" si="3"/>
        <v>221001</v>
      </c>
      <c r="B54" s="5" t="str">
        <f>"2022110222"</f>
        <v>2022110222</v>
      </c>
      <c r="C54" s="5" t="str">
        <f t="shared" si="2"/>
        <v>02</v>
      </c>
      <c r="D54" s="5" t="str">
        <f>"22"</f>
        <v>22</v>
      </c>
      <c r="E54" s="6">
        <v>103.5</v>
      </c>
      <c r="F54" s="6">
        <v>88.8</v>
      </c>
      <c r="G54" s="6">
        <v>64.1</v>
      </c>
      <c r="H54" s="6" t="s">
        <v>9</v>
      </c>
    </row>
    <row r="55" ht="20.1" customHeight="1" spans="1:8">
      <c r="A55" s="5" t="str">
        <f t="shared" si="3"/>
        <v>221001</v>
      </c>
      <c r="B55" s="5" t="str">
        <f>"2022110223"</f>
        <v>2022110223</v>
      </c>
      <c r="C55" s="5" t="str">
        <f t="shared" si="2"/>
        <v>02</v>
      </c>
      <c r="D55" s="5" t="str">
        <f>"23"</f>
        <v>23</v>
      </c>
      <c r="E55" s="6">
        <v>117</v>
      </c>
      <c r="F55" s="6">
        <v>111.2</v>
      </c>
      <c r="G55" s="6">
        <v>76.0666666666667</v>
      </c>
      <c r="H55" s="6" t="s">
        <v>9</v>
      </c>
    </row>
    <row r="56" ht="20.1" customHeight="1" spans="1:8">
      <c r="A56" s="5" t="str">
        <f t="shared" si="3"/>
        <v>221001</v>
      </c>
      <c r="B56" s="5" t="str">
        <f>"2022110224"</f>
        <v>2022110224</v>
      </c>
      <c r="C56" s="5" t="str">
        <f t="shared" si="2"/>
        <v>02</v>
      </c>
      <c r="D56" s="5" t="str">
        <f>"24"</f>
        <v>24</v>
      </c>
      <c r="E56" s="6">
        <v>0</v>
      </c>
      <c r="F56" s="6">
        <v>0</v>
      </c>
      <c r="G56" s="6">
        <v>0</v>
      </c>
      <c r="H56" s="6" t="s">
        <v>10</v>
      </c>
    </row>
    <row r="57" ht="20.1" customHeight="1" spans="1:8">
      <c r="A57" s="5" t="str">
        <f t="shared" si="3"/>
        <v>221001</v>
      </c>
      <c r="B57" s="5" t="str">
        <f>"2022110225"</f>
        <v>2022110225</v>
      </c>
      <c r="C57" s="5" t="str">
        <f t="shared" si="2"/>
        <v>02</v>
      </c>
      <c r="D57" s="5" t="str">
        <f>"25"</f>
        <v>25</v>
      </c>
      <c r="E57" s="6">
        <v>0</v>
      </c>
      <c r="F57" s="6">
        <v>0</v>
      </c>
      <c r="G57" s="6">
        <v>0</v>
      </c>
      <c r="H57" s="6" t="s">
        <v>10</v>
      </c>
    </row>
    <row r="58" ht="20.1" customHeight="1" spans="1:8">
      <c r="A58" s="5" t="str">
        <f t="shared" si="3"/>
        <v>221001</v>
      </c>
      <c r="B58" s="5" t="str">
        <f>"2022110226"</f>
        <v>2022110226</v>
      </c>
      <c r="C58" s="5" t="str">
        <f t="shared" si="2"/>
        <v>02</v>
      </c>
      <c r="D58" s="5" t="str">
        <f>"26"</f>
        <v>26</v>
      </c>
      <c r="E58" s="6">
        <v>100.5</v>
      </c>
      <c r="F58" s="6">
        <v>86.5</v>
      </c>
      <c r="G58" s="6">
        <v>62.3333333333333</v>
      </c>
      <c r="H58" s="6" t="s">
        <v>9</v>
      </c>
    </row>
    <row r="59" ht="20.1" customHeight="1" spans="1:8">
      <c r="A59" s="5" t="str">
        <f t="shared" si="3"/>
        <v>221001</v>
      </c>
      <c r="B59" s="5" t="str">
        <f>"2022110227"</f>
        <v>2022110227</v>
      </c>
      <c r="C59" s="5" t="str">
        <f t="shared" si="2"/>
        <v>02</v>
      </c>
      <c r="D59" s="5" t="str">
        <f>"27"</f>
        <v>27</v>
      </c>
      <c r="E59" s="6">
        <v>108</v>
      </c>
      <c r="F59" s="6">
        <v>101.4</v>
      </c>
      <c r="G59" s="6">
        <v>69.8</v>
      </c>
      <c r="H59" s="6" t="s">
        <v>9</v>
      </c>
    </row>
    <row r="60" ht="20.1" customHeight="1" spans="1:8">
      <c r="A60" s="5" t="str">
        <f t="shared" si="3"/>
        <v>221001</v>
      </c>
      <c r="B60" s="5" t="str">
        <f>"2022110228"</f>
        <v>2022110228</v>
      </c>
      <c r="C60" s="5" t="str">
        <f t="shared" si="2"/>
        <v>02</v>
      </c>
      <c r="D60" s="5" t="str">
        <f>"28"</f>
        <v>28</v>
      </c>
      <c r="E60" s="6">
        <v>124.5</v>
      </c>
      <c r="F60" s="6">
        <v>98.7</v>
      </c>
      <c r="G60" s="6">
        <v>74.4</v>
      </c>
      <c r="H60" s="6" t="s">
        <v>9</v>
      </c>
    </row>
    <row r="61" ht="20.1" customHeight="1" spans="1:8">
      <c r="A61" s="5" t="str">
        <f t="shared" si="3"/>
        <v>221001</v>
      </c>
      <c r="B61" s="5" t="str">
        <f>"2022110229"</f>
        <v>2022110229</v>
      </c>
      <c r="C61" s="5" t="str">
        <f t="shared" si="2"/>
        <v>02</v>
      </c>
      <c r="D61" s="5" t="str">
        <f>"29"</f>
        <v>29</v>
      </c>
      <c r="E61" s="6">
        <v>0</v>
      </c>
      <c r="F61" s="6">
        <v>0</v>
      </c>
      <c r="G61" s="6">
        <v>0</v>
      </c>
      <c r="H61" s="6" t="s">
        <v>10</v>
      </c>
    </row>
    <row r="62" ht="20.1" customHeight="1" spans="1:8">
      <c r="A62" s="5" t="str">
        <f t="shared" si="3"/>
        <v>221001</v>
      </c>
      <c r="B62" s="5" t="str">
        <f>"2022110230"</f>
        <v>2022110230</v>
      </c>
      <c r="C62" s="5" t="str">
        <f t="shared" si="2"/>
        <v>02</v>
      </c>
      <c r="D62" s="5" t="str">
        <f>"30"</f>
        <v>30</v>
      </c>
      <c r="E62" s="6">
        <v>120</v>
      </c>
      <c r="F62" s="6">
        <v>115.1</v>
      </c>
      <c r="G62" s="6">
        <v>78.3666666666667</v>
      </c>
      <c r="H62" s="6" t="s">
        <v>9</v>
      </c>
    </row>
    <row r="63" ht="20.1" customHeight="1" spans="1:8">
      <c r="A63" s="5" t="str">
        <f t="shared" si="3"/>
        <v>221001</v>
      </c>
      <c r="B63" s="5" t="str">
        <f>"2022110301"</f>
        <v>2022110301</v>
      </c>
      <c r="C63" s="5" t="str">
        <f t="shared" ref="C63:C92" si="4">"03"</f>
        <v>03</v>
      </c>
      <c r="D63" s="5" t="str">
        <f>"01"</f>
        <v>01</v>
      </c>
      <c r="E63" s="6">
        <v>109.5</v>
      </c>
      <c r="F63" s="6">
        <v>110.7</v>
      </c>
      <c r="G63" s="6">
        <v>73.4</v>
      </c>
      <c r="H63" s="6" t="s">
        <v>9</v>
      </c>
    </row>
    <row r="64" ht="20.1" customHeight="1" spans="1:8">
      <c r="A64" s="5" t="str">
        <f t="shared" si="3"/>
        <v>221001</v>
      </c>
      <c r="B64" s="5" t="str">
        <f>"2022110302"</f>
        <v>2022110302</v>
      </c>
      <c r="C64" s="5" t="str">
        <f t="shared" si="4"/>
        <v>03</v>
      </c>
      <c r="D64" s="5" t="str">
        <f>"02"</f>
        <v>02</v>
      </c>
      <c r="E64" s="6">
        <v>0</v>
      </c>
      <c r="F64" s="6">
        <v>0</v>
      </c>
      <c r="G64" s="6">
        <v>0</v>
      </c>
      <c r="H64" s="6" t="s">
        <v>10</v>
      </c>
    </row>
    <row r="65" ht="20.1" customHeight="1" spans="1:8">
      <c r="A65" s="5" t="str">
        <f t="shared" si="3"/>
        <v>221001</v>
      </c>
      <c r="B65" s="5" t="str">
        <f>"2022110303"</f>
        <v>2022110303</v>
      </c>
      <c r="C65" s="5" t="str">
        <f t="shared" si="4"/>
        <v>03</v>
      </c>
      <c r="D65" s="5" t="str">
        <f>"03"</f>
        <v>03</v>
      </c>
      <c r="E65" s="6">
        <v>0</v>
      </c>
      <c r="F65" s="6">
        <v>0</v>
      </c>
      <c r="G65" s="6">
        <v>0</v>
      </c>
      <c r="H65" s="6" t="s">
        <v>10</v>
      </c>
    </row>
    <row r="66" ht="20.1" customHeight="1" spans="1:8">
      <c r="A66" s="5" t="str">
        <f t="shared" si="3"/>
        <v>221001</v>
      </c>
      <c r="B66" s="5" t="str">
        <f>"2022110304"</f>
        <v>2022110304</v>
      </c>
      <c r="C66" s="5" t="str">
        <f t="shared" si="4"/>
        <v>03</v>
      </c>
      <c r="D66" s="5" t="str">
        <f>"04"</f>
        <v>04</v>
      </c>
      <c r="E66" s="6">
        <v>114</v>
      </c>
      <c r="F66" s="6">
        <v>110.2</v>
      </c>
      <c r="G66" s="6">
        <v>74.7333333333333</v>
      </c>
      <c r="H66" s="6" t="s">
        <v>9</v>
      </c>
    </row>
    <row r="67" ht="20.1" customHeight="1" spans="1:8">
      <c r="A67" s="5" t="str">
        <f t="shared" ref="A67:A98" si="5">"221001"</f>
        <v>221001</v>
      </c>
      <c r="B67" s="5" t="str">
        <f>"2022110305"</f>
        <v>2022110305</v>
      </c>
      <c r="C67" s="5" t="str">
        <f t="shared" si="4"/>
        <v>03</v>
      </c>
      <c r="D67" s="5" t="str">
        <f>"05"</f>
        <v>05</v>
      </c>
      <c r="E67" s="6">
        <v>114</v>
      </c>
      <c r="F67" s="6">
        <v>103.2</v>
      </c>
      <c r="G67" s="6">
        <v>72.4</v>
      </c>
      <c r="H67" s="6" t="s">
        <v>9</v>
      </c>
    </row>
    <row r="68" ht="20.1" customHeight="1" spans="1:8">
      <c r="A68" s="5" t="str">
        <f t="shared" si="5"/>
        <v>221001</v>
      </c>
      <c r="B68" s="5" t="str">
        <f>"2022110306"</f>
        <v>2022110306</v>
      </c>
      <c r="C68" s="5" t="str">
        <f t="shared" si="4"/>
        <v>03</v>
      </c>
      <c r="D68" s="5" t="str">
        <f>"06"</f>
        <v>06</v>
      </c>
      <c r="E68" s="6">
        <v>0</v>
      </c>
      <c r="F68" s="6">
        <v>0</v>
      </c>
      <c r="G68" s="6">
        <v>0</v>
      </c>
      <c r="H68" s="6" t="s">
        <v>10</v>
      </c>
    </row>
    <row r="69" ht="20.1" customHeight="1" spans="1:8">
      <c r="A69" s="5" t="str">
        <f t="shared" si="5"/>
        <v>221001</v>
      </c>
      <c r="B69" s="5" t="str">
        <f>"2022110307"</f>
        <v>2022110307</v>
      </c>
      <c r="C69" s="5" t="str">
        <f t="shared" si="4"/>
        <v>03</v>
      </c>
      <c r="D69" s="5" t="str">
        <f>"07"</f>
        <v>07</v>
      </c>
      <c r="E69" s="6">
        <v>0</v>
      </c>
      <c r="F69" s="6">
        <v>0</v>
      </c>
      <c r="G69" s="6">
        <v>0</v>
      </c>
      <c r="H69" s="6" t="s">
        <v>10</v>
      </c>
    </row>
    <row r="70" ht="20.1" customHeight="1" spans="1:8">
      <c r="A70" s="5" t="str">
        <f t="shared" si="5"/>
        <v>221001</v>
      </c>
      <c r="B70" s="5" t="str">
        <f>"2022110308"</f>
        <v>2022110308</v>
      </c>
      <c r="C70" s="5" t="str">
        <f t="shared" si="4"/>
        <v>03</v>
      </c>
      <c r="D70" s="5" t="str">
        <f>"08"</f>
        <v>08</v>
      </c>
      <c r="E70" s="6">
        <v>120</v>
      </c>
      <c r="F70" s="6">
        <v>110.3</v>
      </c>
      <c r="G70" s="6">
        <v>76.7666666666667</v>
      </c>
      <c r="H70" s="6" t="s">
        <v>9</v>
      </c>
    </row>
    <row r="71" ht="20.1" customHeight="1" spans="1:8">
      <c r="A71" s="5" t="str">
        <f t="shared" si="5"/>
        <v>221001</v>
      </c>
      <c r="B71" s="5" t="str">
        <f>"2022110309"</f>
        <v>2022110309</v>
      </c>
      <c r="C71" s="5" t="str">
        <f t="shared" si="4"/>
        <v>03</v>
      </c>
      <c r="D71" s="5" t="str">
        <f>"09"</f>
        <v>09</v>
      </c>
      <c r="E71" s="6">
        <v>0</v>
      </c>
      <c r="F71" s="6">
        <v>0</v>
      </c>
      <c r="G71" s="6">
        <v>0</v>
      </c>
      <c r="H71" s="6" t="s">
        <v>10</v>
      </c>
    </row>
    <row r="72" ht="20.1" customHeight="1" spans="1:8">
      <c r="A72" s="5" t="str">
        <f t="shared" si="5"/>
        <v>221001</v>
      </c>
      <c r="B72" s="5" t="str">
        <f>"2022110310"</f>
        <v>2022110310</v>
      </c>
      <c r="C72" s="5" t="str">
        <f t="shared" si="4"/>
        <v>03</v>
      </c>
      <c r="D72" s="5" t="str">
        <f>"10"</f>
        <v>10</v>
      </c>
      <c r="E72" s="6">
        <v>109.5</v>
      </c>
      <c r="F72" s="6">
        <v>94.5</v>
      </c>
      <c r="G72" s="6">
        <v>68</v>
      </c>
      <c r="H72" s="6" t="s">
        <v>9</v>
      </c>
    </row>
    <row r="73" ht="20.1" customHeight="1" spans="1:8">
      <c r="A73" s="5" t="str">
        <f t="shared" si="5"/>
        <v>221001</v>
      </c>
      <c r="B73" s="5" t="str">
        <f>"2022110311"</f>
        <v>2022110311</v>
      </c>
      <c r="C73" s="5" t="str">
        <f t="shared" si="4"/>
        <v>03</v>
      </c>
      <c r="D73" s="5" t="str">
        <f>"11"</f>
        <v>11</v>
      </c>
      <c r="E73" s="6">
        <v>0</v>
      </c>
      <c r="F73" s="6">
        <v>0</v>
      </c>
      <c r="G73" s="6">
        <v>0</v>
      </c>
      <c r="H73" s="6" t="s">
        <v>10</v>
      </c>
    </row>
    <row r="74" ht="20.1" customHeight="1" spans="1:8">
      <c r="A74" s="5" t="str">
        <f t="shared" si="5"/>
        <v>221001</v>
      </c>
      <c r="B74" s="5" t="str">
        <f>"2022110312"</f>
        <v>2022110312</v>
      </c>
      <c r="C74" s="5" t="str">
        <f t="shared" si="4"/>
        <v>03</v>
      </c>
      <c r="D74" s="5" t="str">
        <f>"12"</f>
        <v>12</v>
      </c>
      <c r="E74" s="6">
        <v>109.5</v>
      </c>
      <c r="F74" s="6">
        <v>111.3</v>
      </c>
      <c r="G74" s="6">
        <v>73.6</v>
      </c>
      <c r="H74" s="6" t="s">
        <v>9</v>
      </c>
    </row>
    <row r="75" ht="20.1" customHeight="1" spans="1:8">
      <c r="A75" s="5" t="str">
        <f t="shared" si="5"/>
        <v>221001</v>
      </c>
      <c r="B75" s="5" t="str">
        <f>"2022110313"</f>
        <v>2022110313</v>
      </c>
      <c r="C75" s="5" t="str">
        <f t="shared" si="4"/>
        <v>03</v>
      </c>
      <c r="D75" s="5" t="str">
        <f>"13"</f>
        <v>13</v>
      </c>
      <c r="E75" s="6">
        <v>123</v>
      </c>
      <c r="F75" s="6">
        <v>108.3</v>
      </c>
      <c r="G75" s="6">
        <v>77.1</v>
      </c>
      <c r="H75" s="6" t="s">
        <v>9</v>
      </c>
    </row>
    <row r="76" ht="20.1" customHeight="1" spans="1:8">
      <c r="A76" s="5" t="str">
        <f t="shared" si="5"/>
        <v>221001</v>
      </c>
      <c r="B76" s="5" t="str">
        <f>"2022110314"</f>
        <v>2022110314</v>
      </c>
      <c r="C76" s="5" t="str">
        <f t="shared" si="4"/>
        <v>03</v>
      </c>
      <c r="D76" s="5" t="str">
        <f>"14"</f>
        <v>14</v>
      </c>
      <c r="E76" s="6">
        <v>118.5</v>
      </c>
      <c r="F76" s="6">
        <v>101.7</v>
      </c>
      <c r="G76" s="6">
        <v>73.4</v>
      </c>
      <c r="H76" s="6" t="s">
        <v>9</v>
      </c>
    </row>
    <row r="77" ht="20.1" customHeight="1" spans="1:8">
      <c r="A77" s="5" t="str">
        <f t="shared" si="5"/>
        <v>221001</v>
      </c>
      <c r="B77" s="5" t="str">
        <f>"2022110315"</f>
        <v>2022110315</v>
      </c>
      <c r="C77" s="5" t="str">
        <f t="shared" si="4"/>
        <v>03</v>
      </c>
      <c r="D77" s="5" t="str">
        <f>"15"</f>
        <v>15</v>
      </c>
      <c r="E77" s="6">
        <v>112.5</v>
      </c>
      <c r="F77" s="6">
        <v>95.9</v>
      </c>
      <c r="G77" s="6">
        <v>69.4666666666667</v>
      </c>
      <c r="H77" s="6" t="s">
        <v>9</v>
      </c>
    </row>
    <row r="78" ht="20.1" customHeight="1" spans="1:8">
      <c r="A78" s="5" t="str">
        <f t="shared" si="5"/>
        <v>221001</v>
      </c>
      <c r="B78" s="5" t="str">
        <f>"2022110316"</f>
        <v>2022110316</v>
      </c>
      <c r="C78" s="5" t="str">
        <f t="shared" si="4"/>
        <v>03</v>
      </c>
      <c r="D78" s="5" t="str">
        <f>"16"</f>
        <v>16</v>
      </c>
      <c r="E78" s="6">
        <v>117</v>
      </c>
      <c r="F78" s="6">
        <v>103.3</v>
      </c>
      <c r="G78" s="6">
        <v>73.4333333333333</v>
      </c>
      <c r="H78" s="6" t="s">
        <v>9</v>
      </c>
    </row>
    <row r="79" ht="20.1" customHeight="1" spans="1:8">
      <c r="A79" s="5" t="str">
        <f t="shared" si="5"/>
        <v>221001</v>
      </c>
      <c r="B79" s="5" t="str">
        <f>"2022110317"</f>
        <v>2022110317</v>
      </c>
      <c r="C79" s="5" t="str">
        <f t="shared" si="4"/>
        <v>03</v>
      </c>
      <c r="D79" s="5" t="str">
        <f>"17"</f>
        <v>17</v>
      </c>
      <c r="E79" s="6">
        <v>0</v>
      </c>
      <c r="F79" s="6">
        <v>0</v>
      </c>
      <c r="G79" s="6">
        <v>0</v>
      </c>
      <c r="H79" s="6" t="s">
        <v>10</v>
      </c>
    </row>
    <row r="80" ht="20.1" customHeight="1" spans="1:8">
      <c r="A80" s="5" t="str">
        <f t="shared" si="5"/>
        <v>221001</v>
      </c>
      <c r="B80" s="5" t="str">
        <f>"2022110318"</f>
        <v>2022110318</v>
      </c>
      <c r="C80" s="5" t="str">
        <f t="shared" si="4"/>
        <v>03</v>
      </c>
      <c r="D80" s="5" t="str">
        <f>"18"</f>
        <v>18</v>
      </c>
      <c r="E80" s="6">
        <v>127.5</v>
      </c>
      <c r="F80" s="6">
        <v>107.5</v>
      </c>
      <c r="G80" s="6">
        <v>78.3333333333333</v>
      </c>
      <c r="H80" s="6" t="s">
        <v>9</v>
      </c>
    </row>
    <row r="81" ht="20.1" customHeight="1" spans="1:8">
      <c r="A81" s="5" t="str">
        <f t="shared" si="5"/>
        <v>221001</v>
      </c>
      <c r="B81" s="5" t="str">
        <f>"2022110319"</f>
        <v>2022110319</v>
      </c>
      <c r="C81" s="5" t="str">
        <f t="shared" si="4"/>
        <v>03</v>
      </c>
      <c r="D81" s="5" t="str">
        <f>"19"</f>
        <v>19</v>
      </c>
      <c r="E81" s="6">
        <v>0</v>
      </c>
      <c r="F81" s="6">
        <v>0</v>
      </c>
      <c r="G81" s="6">
        <v>0</v>
      </c>
      <c r="H81" s="6" t="s">
        <v>10</v>
      </c>
    </row>
    <row r="82" ht="20.1" customHeight="1" spans="1:8">
      <c r="A82" s="5" t="str">
        <f t="shared" si="5"/>
        <v>221001</v>
      </c>
      <c r="B82" s="5" t="str">
        <f>"2022110320"</f>
        <v>2022110320</v>
      </c>
      <c r="C82" s="5" t="str">
        <f t="shared" si="4"/>
        <v>03</v>
      </c>
      <c r="D82" s="5" t="str">
        <f>"20"</f>
        <v>20</v>
      </c>
      <c r="E82" s="6">
        <v>0</v>
      </c>
      <c r="F82" s="6">
        <v>0</v>
      </c>
      <c r="G82" s="6">
        <v>0</v>
      </c>
      <c r="H82" s="6" t="s">
        <v>10</v>
      </c>
    </row>
    <row r="83" ht="20.1" customHeight="1" spans="1:8">
      <c r="A83" s="5" t="str">
        <f t="shared" si="5"/>
        <v>221001</v>
      </c>
      <c r="B83" s="5" t="str">
        <f>"2022110321"</f>
        <v>2022110321</v>
      </c>
      <c r="C83" s="5" t="str">
        <f t="shared" si="4"/>
        <v>03</v>
      </c>
      <c r="D83" s="5" t="str">
        <f>"21"</f>
        <v>21</v>
      </c>
      <c r="E83" s="6">
        <v>123</v>
      </c>
      <c r="F83" s="6">
        <v>109.9</v>
      </c>
      <c r="G83" s="6">
        <v>77.6333333333333</v>
      </c>
      <c r="H83" s="6" t="s">
        <v>9</v>
      </c>
    </row>
    <row r="84" ht="20.1" customHeight="1" spans="1:8">
      <c r="A84" s="5" t="str">
        <f t="shared" si="5"/>
        <v>221001</v>
      </c>
      <c r="B84" s="5" t="str">
        <f>"2022110322"</f>
        <v>2022110322</v>
      </c>
      <c r="C84" s="5" t="str">
        <f t="shared" si="4"/>
        <v>03</v>
      </c>
      <c r="D84" s="5" t="str">
        <f>"22"</f>
        <v>22</v>
      </c>
      <c r="E84" s="6">
        <v>0</v>
      </c>
      <c r="F84" s="6">
        <v>0</v>
      </c>
      <c r="G84" s="6">
        <v>0</v>
      </c>
      <c r="H84" s="6" t="s">
        <v>10</v>
      </c>
    </row>
    <row r="85" ht="20.1" customHeight="1" spans="1:8">
      <c r="A85" s="5" t="str">
        <f t="shared" si="5"/>
        <v>221001</v>
      </c>
      <c r="B85" s="5" t="str">
        <f>"2022110323"</f>
        <v>2022110323</v>
      </c>
      <c r="C85" s="5" t="str">
        <f t="shared" si="4"/>
        <v>03</v>
      </c>
      <c r="D85" s="5" t="str">
        <f>"23"</f>
        <v>23</v>
      </c>
      <c r="E85" s="6">
        <v>117</v>
      </c>
      <c r="F85" s="6">
        <v>92.3</v>
      </c>
      <c r="G85" s="6">
        <v>69.7666666666667</v>
      </c>
      <c r="H85" s="6" t="s">
        <v>9</v>
      </c>
    </row>
    <row r="86" ht="20.1" customHeight="1" spans="1:8">
      <c r="A86" s="5" t="str">
        <f t="shared" si="5"/>
        <v>221001</v>
      </c>
      <c r="B86" s="5" t="str">
        <f>"2022110324"</f>
        <v>2022110324</v>
      </c>
      <c r="C86" s="5" t="str">
        <f t="shared" si="4"/>
        <v>03</v>
      </c>
      <c r="D86" s="5" t="str">
        <f>"24"</f>
        <v>24</v>
      </c>
      <c r="E86" s="6">
        <v>109.5</v>
      </c>
      <c r="F86" s="6">
        <v>111.3</v>
      </c>
      <c r="G86" s="6">
        <v>73.6</v>
      </c>
      <c r="H86" s="6" t="s">
        <v>9</v>
      </c>
    </row>
    <row r="87" ht="20.1" customHeight="1" spans="1:8">
      <c r="A87" s="5" t="str">
        <f t="shared" si="5"/>
        <v>221001</v>
      </c>
      <c r="B87" s="5" t="str">
        <f>"2022110325"</f>
        <v>2022110325</v>
      </c>
      <c r="C87" s="5" t="str">
        <f t="shared" si="4"/>
        <v>03</v>
      </c>
      <c r="D87" s="5" t="str">
        <f>"25"</f>
        <v>25</v>
      </c>
      <c r="E87" s="6">
        <v>108</v>
      </c>
      <c r="F87" s="6">
        <v>110.9</v>
      </c>
      <c r="G87" s="6">
        <v>72.9666666666667</v>
      </c>
      <c r="H87" s="6" t="s">
        <v>9</v>
      </c>
    </row>
    <row r="88" ht="20.1" customHeight="1" spans="1:8">
      <c r="A88" s="5" t="str">
        <f t="shared" si="5"/>
        <v>221001</v>
      </c>
      <c r="B88" s="5" t="str">
        <f>"2022110326"</f>
        <v>2022110326</v>
      </c>
      <c r="C88" s="5" t="str">
        <f t="shared" si="4"/>
        <v>03</v>
      </c>
      <c r="D88" s="5" t="str">
        <f>"26"</f>
        <v>26</v>
      </c>
      <c r="E88" s="6">
        <v>108</v>
      </c>
      <c r="F88" s="6">
        <v>114.4</v>
      </c>
      <c r="G88" s="6">
        <v>74.1333333333333</v>
      </c>
      <c r="H88" s="6" t="s">
        <v>9</v>
      </c>
    </row>
    <row r="89" ht="20.1" customHeight="1" spans="1:8">
      <c r="A89" s="5" t="str">
        <f t="shared" si="5"/>
        <v>221001</v>
      </c>
      <c r="B89" s="5" t="str">
        <f>"2022110327"</f>
        <v>2022110327</v>
      </c>
      <c r="C89" s="5" t="str">
        <f t="shared" si="4"/>
        <v>03</v>
      </c>
      <c r="D89" s="5" t="str">
        <f>"27"</f>
        <v>27</v>
      </c>
      <c r="E89" s="6">
        <v>126</v>
      </c>
      <c r="F89" s="6">
        <v>112.5</v>
      </c>
      <c r="G89" s="6">
        <v>79.5</v>
      </c>
      <c r="H89" s="6" t="s">
        <v>9</v>
      </c>
    </row>
    <row r="90" ht="20.1" customHeight="1" spans="1:8">
      <c r="A90" s="5" t="str">
        <f t="shared" si="5"/>
        <v>221001</v>
      </c>
      <c r="B90" s="5" t="str">
        <f>"2022110328"</f>
        <v>2022110328</v>
      </c>
      <c r="C90" s="5" t="str">
        <f t="shared" si="4"/>
        <v>03</v>
      </c>
      <c r="D90" s="5" t="str">
        <f>"28"</f>
        <v>28</v>
      </c>
      <c r="E90" s="6">
        <v>124.5</v>
      </c>
      <c r="F90" s="6">
        <v>104.5</v>
      </c>
      <c r="G90" s="6">
        <v>76.3333333333333</v>
      </c>
      <c r="H90" s="6" t="s">
        <v>9</v>
      </c>
    </row>
    <row r="91" ht="20.1" customHeight="1" spans="1:8">
      <c r="A91" s="5" t="str">
        <f t="shared" si="5"/>
        <v>221001</v>
      </c>
      <c r="B91" s="5" t="str">
        <f>"2022110329"</f>
        <v>2022110329</v>
      </c>
      <c r="C91" s="5" t="str">
        <f t="shared" si="4"/>
        <v>03</v>
      </c>
      <c r="D91" s="5" t="str">
        <f>"29"</f>
        <v>29</v>
      </c>
      <c r="E91" s="6">
        <v>106.5</v>
      </c>
      <c r="F91" s="6">
        <v>110.9</v>
      </c>
      <c r="G91" s="6">
        <v>72.4666666666667</v>
      </c>
      <c r="H91" s="6" t="s">
        <v>9</v>
      </c>
    </row>
    <row r="92" ht="20.1" customHeight="1" spans="1:8">
      <c r="A92" s="5" t="str">
        <f t="shared" si="5"/>
        <v>221001</v>
      </c>
      <c r="B92" s="5" t="str">
        <f>"2022110330"</f>
        <v>2022110330</v>
      </c>
      <c r="C92" s="5" t="str">
        <f t="shared" si="4"/>
        <v>03</v>
      </c>
      <c r="D92" s="5" t="str">
        <f>"30"</f>
        <v>30</v>
      </c>
      <c r="E92" s="6">
        <v>94.5</v>
      </c>
      <c r="F92" s="6">
        <v>112</v>
      </c>
      <c r="G92" s="6">
        <v>68.8333333333333</v>
      </c>
      <c r="H92" s="6" t="s">
        <v>9</v>
      </c>
    </row>
    <row r="93" ht="20.1" customHeight="1" spans="1:8">
      <c r="A93" s="5" t="str">
        <f t="shared" si="5"/>
        <v>221001</v>
      </c>
      <c r="B93" s="5" t="str">
        <f>"2022110401"</f>
        <v>2022110401</v>
      </c>
      <c r="C93" s="5" t="str">
        <f t="shared" ref="C93:C122" si="6">"04"</f>
        <v>04</v>
      </c>
      <c r="D93" s="5" t="str">
        <f>"01"</f>
        <v>01</v>
      </c>
      <c r="E93" s="6">
        <v>96</v>
      </c>
      <c r="F93" s="6">
        <v>103.2</v>
      </c>
      <c r="G93" s="6">
        <v>66.4</v>
      </c>
      <c r="H93" s="6" t="s">
        <v>9</v>
      </c>
    </row>
    <row r="94" ht="20.1" customHeight="1" spans="1:8">
      <c r="A94" s="5" t="str">
        <f t="shared" si="5"/>
        <v>221001</v>
      </c>
      <c r="B94" s="5" t="str">
        <f>"2022110402"</f>
        <v>2022110402</v>
      </c>
      <c r="C94" s="5" t="str">
        <f t="shared" si="6"/>
        <v>04</v>
      </c>
      <c r="D94" s="5" t="str">
        <f>"02"</f>
        <v>02</v>
      </c>
      <c r="E94" s="6">
        <v>0</v>
      </c>
      <c r="F94" s="6">
        <v>0</v>
      </c>
      <c r="G94" s="6">
        <v>0</v>
      </c>
      <c r="H94" s="6" t="s">
        <v>10</v>
      </c>
    </row>
    <row r="95" ht="20.1" customHeight="1" spans="1:8">
      <c r="A95" s="5" t="str">
        <f t="shared" si="5"/>
        <v>221001</v>
      </c>
      <c r="B95" s="5" t="str">
        <f>"2022110403"</f>
        <v>2022110403</v>
      </c>
      <c r="C95" s="5" t="str">
        <f t="shared" si="6"/>
        <v>04</v>
      </c>
      <c r="D95" s="5" t="str">
        <f>"03"</f>
        <v>03</v>
      </c>
      <c r="E95" s="6">
        <v>106.5</v>
      </c>
      <c r="F95" s="6">
        <v>100.8</v>
      </c>
      <c r="G95" s="6">
        <v>69.1</v>
      </c>
      <c r="H95" s="6" t="s">
        <v>9</v>
      </c>
    </row>
    <row r="96" ht="20.1" customHeight="1" spans="1:8">
      <c r="A96" s="5" t="str">
        <f t="shared" si="5"/>
        <v>221001</v>
      </c>
      <c r="B96" s="5" t="str">
        <f>"2022110404"</f>
        <v>2022110404</v>
      </c>
      <c r="C96" s="5" t="str">
        <f t="shared" si="6"/>
        <v>04</v>
      </c>
      <c r="D96" s="5" t="str">
        <f>"04"</f>
        <v>04</v>
      </c>
      <c r="E96" s="6">
        <v>133.5</v>
      </c>
      <c r="F96" s="6">
        <v>104</v>
      </c>
      <c r="G96" s="6">
        <v>79.1666666666667</v>
      </c>
      <c r="H96" s="6" t="s">
        <v>9</v>
      </c>
    </row>
    <row r="97" ht="20.1" customHeight="1" spans="1:8">
      <c r="A97" s="5" t="str">
        <f t="shared" si="5"/>
        <v>221001</v>
      </c>
      <c r="B97" s="5" t="str">
        <f>"2022110405"</f>
        <v>2022110405</v>
      </c>
      <c r="C97" s="5" t="str">
        <f t="shared" si="6"/>
        <v>04</v>
      </c>
      <c r="D97" s="5" t="str">
        <f>"05"</f>
        <v>05</v>
      </c>
      <c r="E97" s="6">
        <v>103.5</v>
      </c>
      <c r="F97" s="6">
        <v>111.2</v>
      </c>
      <c r="G97" s="6">
        <v>71.5666666666667</v>
      </c>
      <c r="H97" s="6" t="s">
        <v>9</v>
      </c>
    </row>
    <row r="98" ht="20.1" customHeight="1" spans="1:8">
      <c r="A98" s="5" t="str">
        <f t="shared" si="5"/>
        <v>221001</v>
      </c>
      <c r="B98" s="5" t="str">
        <f>"2022110406"</f>
        <v>2022110406</v>
      </c>
      <c r="C98" s="5" t="str">
        <f t="shared" si="6"/>
        <v>04</v>
      </c>
      <c r="D98" s="5" t="str">
        <f>"06"</f>
        <v>06</v>
      </c>
      <c r="E98" s="6">
        <v>117</v>
      </c>
      <c r="F98" s="6">
        <v>105.2</v>
      </c>
      <c r="G98" s="6">
        <v>74.0666666666667</v>
      </c>
      <c r="H98" s="6" t="s">
        <v>9</v>
      </c>
    </row>
    <row r="99" ht="20.1" customHeight="1" spans="1:8">
      <c r="A99" s="5" t="str">
        <f t="shared" ref="A99:A125" si="7">"221001"</f>
        <v>221001</v>
      </c>
      <c r="B99" s="5" t="str">
        <f>"2022110407"</f>
        <v>2022110407</v>
      </c>
      <c r="C99" s="5" t="str">
        <f t="shared" si="6"/>
        <v>04</v>
      </c>
      <c r="D99" s="5" t="str">
        <f>"07"</f>
        <v>07</v>
      </c>
      <c r="E99" s="6">
        <v>109.5</v>
      </c>
      <c r="F99" s="6">
        <v>117.2</v>
      </c>
      <c r="G99" s="6">
        <v>75.5666666666667</v>
      </c>
      <c r="H99" s="6" t="s">
        <v>9</v>
      </c>
    </row>
    <row r="100" ht="20.1" customHeight="1" spans="1:8">
      <c r="A100" s="5" t="str">
        <f t="shared" si="7"/>
        <v>221001</v>
      </c>
      <c r="B100" s="5" t="str">
        <f>"2022110408"</f>
        <v>2022110408</v>
      </c>
      <c r="C100" s="5" t="str">
        <f t="shared" si="6"/>
        <v>04</v>
      </c>
      <c r="D100" s="5" t="str">
        <f>"08"</f>
        <v>08</v>
      </c>
      <c r="E100" s="6">
        <v>121.5</v>
      </c>
      <c r="F100" s="6">
        <v>101.9</v>
      </c>
      <c r="G100" s="6">
        <v>74.4666666666667</v>
      </c>
      <c r="H100" s="6" t="s">
        <v>9</v>
      </c>
    </row>
    <row r="101" ht="20.1" customHeight="1" spans="1:8">
      <c r="A101" s="5" t="str">
        <f t="shared" si="7"/>
        <v>221001</v>
      </c>
      <c r="B101" s="5" t="str">
        <f>"2022110409"</f>
        <v>2022110409</v>
      </c>
      <c r="C101" s="5" t="str">
        <f t="shared" si="6"/>
        <v>04</v>
      </c>
      <c r="D101" s="5" t="str">
        <f>"09"</f>
        <v>09</v>
      </c>
      <c r="E101" s="6">
        <v>0</v>
      </c>
      <c r="F101" s="6">
        <v>0</v>
      </c>
      <c r="G101" s="6">
        <v>0</v>
      </c>
      <c r="H101" s="6" t="s">
        <v>10</v>
      </c>
    </row>
    <row r="102" ht="20.1" customHeight="1" spans="1:8">
      <c r="A102" s="5" t="str">
        <f t="shared" si="7"/>
        <v>221001</v>
      </c>
      <c r="B102" s="5" t="str">
        <f>"2022110410"</f>
        <v>2022110410</v>
      </c>
      <c r="C102" s="5" t="str">
        <f t="shared" si="6"/>
        <v>04</v>
      </c>
      <c r="D102" s="5" t="str">
        <f>"10"</f>
        <v>10</v>
      </c>
      <c r="E102" s="6">
        <v>0</v>
      </c>
      <c r="F102" s="6">
        <v>0</v>
      </c>
      <c r="G102" s="6">
        <v>0</v>
      </c>
      <c r="H102" s="6" t="s">
        <v>10</v>
      </c>
    </row>
    <row r="103" ht="20.1" customHeight="1" spans="1:8">
      <c r="A103" s="5" t="str">
        <f t="shared" si="7"/>
        <v>221001</v>
      </c>
      <c r="B103" s="5" t="str">
        <f>"2022110411"</f>
        <v>2022110411</v>
      </c>
      <c r="C103" s="5" t="str">
        <f t="shared" si="6"/>
        <v>04</v>
      </c>
      <c r="D103" s="5" t="str">
        <f>"11"</f>
        <v>11</v>
      </c>
      <c r="E103" s="6">
        <v>0</v>
      </c>
      <c r="F103" s="6">
        <v>0</v>
      </c>
      <c r="G103" s="6">
        <v>0</v>
      </c>
      <c r="H103" s="6" t="s">
        <v>10</v>
      </c>
    </row>
    <row r="104" ht="20.1" customHeight="1" spans="1:8">
      <c r="A104" s="5" t="str">
        <f t="shared" si="7"/>
        <v>221001</v>
      </c>
      <c r="B104" s="5" t="str">
        <f>"2022110412"</f>
        <v>2022110412</v>
      </c>
      <c r="C104" s="5" t="str">
        <f t="shared" si="6"/>
        <v>04</v>
      </c>
      <c r="D104" s="5" t="str">
        <f>"12"</f>
        <v>12</v>
      </c>
      <c r="E104" s="6">
        <v>94.5</v>
      </c>
      <c r="F104" s="6">
        <v>99.2</v>
      </c>
      <c r="G104" s="6">
        <v>64.5666666666667</v>
      </c>
      <c r="H104" s="6" t="s">
        <v>9</v>
      </c>
    </row>
    <row r="105" ht="20.1" customHeight="1" spans="1:8">
      <c r="A105" s="5" t="str">
        <f t="shared" si="7"/>
        <v>221001</v>
      </c>
      <c r="B105" s="5" t="str">
        <f>"2022110413"</f>
        <v>2022110413</v>
      </c>
      <c r="C105" s="5" t="str">
        <f t="shared" si="6"/>
        <v>04</v>
      </c>
      <c r="D105" s="5" t="str">
        <f>"13"</f>
        <v>13</v>
      </c>
      <c r="E105" s="6">
        <v>90</v>
      </c>
      <c r="F105" s="6">
        <v>109.6</v>
      </c>
      <c r="G105" s="6">
        <v>66.5333333333333</v>
      </c>
      <c r="H105" s="6" t="s">
        <v>9</v>
      </c>
    </row>
    <row r="106" ht="20.1" customHeight="1" spans="1:8">
      <c r="A106" s="5" t="str">
        <f t="shared" si="7"/>
        <v>221001</v>
      </c>
      <c r="B106" s="5" t="str">
        <f>"2022110414"</f>
        <v>2022110414</v>
      </c>
      <c r="C106" s="5" t="str">
        <f t="shared" si="6"/>
        <v>04</v>
      </c>
      <c r="D106" s="5" t="str">
        <f>"14"</f>
        <v>14</v>
      </c>
      <c r="E106" s="6">
        <v>129</v>
      </c>
      <c r="F106" s="6">
        <v>92.6</v>
      </c>
      <c r="G106" s="6">
        <v>73.8666666666667</v>
      </c>
      <c r="H106" s="6" t="s">
        <v>9</v>
      </c>
    </row>
    <row r="107" ht="20.1" customHeight="1" spans="1:8">
      <c r="A107" s="5" t="str">
        <f t="shared" si="7"/>
        <v>221001</v>
      </c>
      <c r="B107" s="5" t="str">
        <f>"2022110415"</f>
        <v>2022110415</v>
      </c>
      <c r="C107" s="5" t="str">
        <f t="shared" si="6"/>
        <v>04</v>
      </c>
      <c r="D107" s="5" t="str">
        <f>"15"</f>
        <v>15</v>
      </c>
      <c r="E107" s="6">
        <v>99</v>
      </c>
      <c r="F107" s="6">
        <v>79.3</v>
      </c>
      <c r="G107" s="6">
        <v>59.4333333333333</v>
      </c>
      <c r="H107" s="6" t="s">
        <v>9</v>
      </c>
    </row>
    <row r="108" ht="20.1" customHeight="1" spans="1:8">
      <c r="A108" s="5" t="str">
        <f t="shared" si="7"/>
        <v>221001</v>
      </c>
      <c r="B108" s="5" t="str">
        <f>"2022110416"</f>
        <v>2022110416</v>
      </c>
      <c r="C108" s="5" t="str">
        <f t="shared" si="6"/>
        <v>04</v>
      </c>
      <c r="D108" s="5" t="str">
        <f>"16"</f>
        <v>16</v>
      </c>
      <c r="E108" s="6">
        <v>118.5</v>
      </c>
      <c r="F108" s="6">
        <v>113.5</v>
      </c>
      <c r="G108" s="6">
        <v>77.3333333333333</v>
      </c>
      <c r="H108" s="6" t="s">
        <v>9</v>
      </c>
    </row>
    <row r="109" ht="20.1" customHeight="1" spans="1:8">
      <c r="A109" s="5" t="str">
        <f t="shared" si="7"/>
        <v>221001</v>
      </c>
      <c r="B109" s="5" t="str">
        <f>"2022110417"</f>
        <v>2022110417</v>
      </c>
      <c r="C109" s="5" t="str">
        <f t="shared" si="6"/>
        <v>04</v>
      </c>
      <c r="D109" s="5" t="str">
        <f>"17"</f>
        <v>17</v>
      </c>
      <c r="E109" s="6">
        <v>111</v>
      </c>
      <c r="F109" s="6">
        <v>107</v>
      </c>
      <c r="G109" s="6">
        <v>72.6666666666667</v>
      </c>
      <c r="H109" s="6" t="s">
        <v>9</v>
      </c>
    </row>
    <row r="110" ht="20.1" customHeight="1" spans="1:8">
      <c r="A110" s="5" t="str">
        <f t="shared" si="7"/>
        <v>221001</v>
      </c>
      <c r="B110" s="5" t="str">
        <f>"2022110418"</f>
        <v>2022110418</v>
      </c>
      <c r="C110" s="5" t="str">
        <f t="shared" si="6"/>
        <v>04</v>
      </c>
      <c r="D110" s="5" t="str">
        <f>"18"</f>
        <v>18</v>
      </c>
      <c r="E110" s="6">
        <v>0</v>
      </c>
      <c r="F110" s="6">
        <v>0</v>
      </c>
      <c r="G110" s="6">
        <v>0</v>
      </c>
      <c r="H110" s="6" t="s">
        <v>10</v>
      </c>
    </row>
    <row r="111" ht="20.1" customHeight="1" spans="1:8">
      <c r="A111" s="5" t="str">
        <f t="shared" si="7"/>
        <v>221001</v>
      </c>
      <c r="B111" s="5" t="str">
        <f>"2022110419"</f>
        <v>2022110419</v>
      </c>
      <c r="C111" s="5" t="str">
        <f t="shared" si="6"/>
        <v>04</v>
      </c>
      <c r="D111" s="5" t="str">
        <f>"19"</f>
        <v>19</v>
      </c>
      <c r="E111" s="6">
        <v>118.5</v>
      </c>
      <c r="F111" s="6">
        <v>110.6</v>
      </c>
      <c r="G111" s="6">
        <v>76.3666666666667</v>
      </c>
      <c r="H111" s="6" t="s">
        <v>9</v>
      </c>
    </row>
    <row r="112" ht="20.1" customHeight="1" spans="1:8">
      <c r="A112" s="5" t="str">
        <f t="shared" si="7"/>
        <v>221001</v>
      </c>
      <c r="B112" s="5" t="str">
        <f>"2022110420"</f>
        <v>2022110420</v>
      </c>
      <c r="C112" s="5" t="str">
        <f t="shared" si="6"/>
        <v>04</v>
      </c>
      <c r="D112" s="5" t="str">
        <f>"20"</f>
        <v>20</v>
      </c>
      <c r="E112" s="6">
        <v>0</v>
      </c>
      <c r="F112" s="6">
        <v>0</v>
      </c>
      <c r="G112" s="6">
        <v>0</v>
      </c>
      <c r="H112" s="6" t="s">
        <v>10</v>
      </c>
    </row>
    <row r="113" ht="20.1" customHeight="1" spans="1:8">
      <c r="A113" s="5" t="str">
        <f t="shared" si="7"/>
        <v>221001</v>
      </c>
      <c r="B113" s="5" t="str">
        <f>"2022110421"</f>
        <v>2022110421</v>
      </c>
      <c r="C113" s="5" t="str">
        <f t="shared" si="6"/>
        <v>04</v>
      </c>
      <c r="D113" s="5" t="str">
        <f>"21"</f>
        <v>21</v>
      </c>
      <c r="E113" s="6">
        <v>103.5</v>
      </c>
      <c r="F113" s="6">
        <v>110.8</v>
      </c>
      <c r="G113" s="6">
        <v>71.4333333333333</v>
      </c>
      <c r="H113" s="6" t="s">
        <v>9</v>
      </c>
    </row>
    <row r="114" ht="20.1" customHeight="1" spans="1:8">
      <c r="A114" s="5" t="str">
        <f t="shared" si="7"/>
        <v>221001</v>
      </c>
      <c r="B114" s="5" t="str">
        <f>"2022110422"</f>
        <v>2022110422</v>
      </c>
      <c r="C114" s="5" t="str">
        <f t="shared" si="6"/>
        <v>04</v>
      </c>
      <c r="D114" s="5" t="str">
        <f>"22"</f>
        <v>22</v>
      </c>
      <c r="E114" s="6">
        <v>126</v>
      </c>
      <c r="F114" s="6">
        <v>108.4</v>
      </c>
      <c r="G114" s="6">
        <v>78.1333333333333</v>
      </c>
      <c r="H114" s="6" t="s">
        <v>9</v>
      </c>
    </row>
    <row r="115" ht="20.1" customHeight="1" spans="1:8">
      <c r="A115" s="5" t="str">
        <f t="shared" si="7"/>
        <v>221001</v>
      </c>
      <c r="B115" s="5" t="str">
        <f>"2022110423"</f>
        <v>2022110423</v>
      </c>
      <c r="C115" s="5" t="str">
        <f t="shared" si="6"/>
        <v>04</v>
      </c>
      <c r="D115" s="5" t="str">
        <f>"23"</f>
        <v>23</v>
      </c>
      <c r="E115" s="6">
        <v>0</v>
      </c>
      <c r="F115" s="6">
        <v>0</v>
      </c>
      <c r="G115" s="6">
        <v>0</v>
      </c>
      <c r="H115" s="6" t="s">
        <v>10</v>
      </c>
    </row>
    <row r="116" ht="20.1" customHeight="1" spans="1:8">
      <c r="A116" s="5" t="str">
        <f t="shared" si="7"/>
        <v>221001</v>
      </c>
      <c r="B116" s="5" t="str">
        <f>"2022110424"</f>
        <v>2022110424</v>
      </c>
      <c r="C116" s="5" t="str">
        <f t="shared" si="6"/>
        <v>04</v>
      </c>
      <c r="D116" s="5" t="str">
        <f>"24"</f>
        <v>24</v>
      </c>
      <c r="E116" s="6">
        <v>0</v>
      </c>
      <c r="F116" s="6">
        <v>0</v>
      </c>
      <c r="G116" s="6">
        <v>0</v>
      </c>
      <c r="H116" s="6" t="s">
        <v>10</v>
      </c>
    </row>
    <row r="117" ht="20.1" customHeight="1" spans="1:8">
      <c r="A117" s="5" t="str">
        <f t="shared" si="7"/>
        <v>221001</v>
      </c>
      <c r="B117" s="5" t="str">
        <f>"2022110425"</f>
        <v>2022110425</v>
      </c>
      <c r="C117" s="5" t="str">
        <f t="shared" si="6"/>
        <v>04</v>
      </c>
      <c r="D117" s="5" t="str">
        <f>"25"</f>
        <v>25</v>
      </c>
      <c r="E117" s="6">
        <v>115.5</v>
      </c>
      <c r="F117" s="6">
        <v>99.1</v>
      </c>
      <c r="G117" s="6">
        <v>71.5333333333333</v>
      </c>
      <c r="H117" s="6" t="s">
        <v>9</v>
      </c>
    </row>
    <row r="118" ht="20.1" customHeight="1" spans="1:8">
      <c r="A118" s="5" t="str">
        <f t="shared" si="7"/>
        <v>221001</v>
      </c>
      <c r="B118" s="5" t="str">
        <f>"2022110426"</f>
        <v>2022110426</v>
      </c>
      <c r="C118" s="5" t="str">
        <f t="shared" si="6"/>
        <v>04</v>
      </c>
      <c r="D118" s="5" t="str">
        <f>"26"</f>
        <v>26</v>
      </c>
      <c r="E118" s="6">
        <v>105</v>
      </c>
      <c r="F118" s="6">
        <v>115.8</v>
      </c>
      <c r="G118" s="6">
        <v>73.6</v>
      </c>
      <c r="H118" s="6" t="s">
        <v>9</v>
      </c>
    </row>
    <row r="119" ht="20.1" customHeight="1" spans="1:8">
      <c r="A119" s="5" t="str">
        <f t="shared" si="7"/>
        <v>221001</v>
      </c>
      <c r="B119" s="5" t="str">
        <f>"2022110427"</f>
        <v>2022110427</v>
      </c>
      <c r="C119" s="5" t="str">
        <f t="shared" si="6"/>
        <v>04</v>
      </c>
      <c r="D119" s="5" t="str">
        <f>"27"</f>
        <v>27</v>
      </c>
      <c r="E119" s="6">
        <v>126</v>
      </c>
      <c r="F119" s="6">
        <v>109.1</v>
      </c>
      <c r="G119" s="6">
        <v>78.3666666666667</v>
      </c>
      <c r="H119" s="6" t="s">
        <v>9</v>
      </c>
    </row>
    <row r="120" ht="20.1" customHeight="1" spans="1:8">
      <c r="A120" s="5" t="str">
        <f t="shared" si="7"/>
        <v>221001</v>
      </c>
      <c r="B120" s="5" t="str">
        <f>"2022110428"</f>
        <v>2022110428</v>
      </c>
      <c r="C120" s="5" t="str">
        <f t="shared" si="6"/>
        <v>04</v>
      </c>
      <c r="D120" s="5" t="str">
        <f>"28"</f>
        <v>28</v>
      </c>
      <c r="E120" s="6">
        <v>127.5</v>
      </c>
      <c r="F120" s="6">
        <v>112.6</v>
      </c>
      <c r="G120" s="6">
        <v>80.0333333333333</v>
      </c>
      <c r="H120" s="6" t="s">
        <v>9</v>
      </c>
    </row>
    <row r="121" ht="20.1" customHeight="1" spans="1:8">
      <c r="A121" s="5" t="str">
        <f t="shared" si="7"/>
        <v>221001</v>
      </c>
      <c r="B121" s="5" t="str">
        <f>"2022110429"</f>
        <v>2022110429</v>
      </c>
      <c r="C121" s="5" t="str">
        <f t="shared" si="6"/>
        <v>04</v>
      </c>
      <c r="D121" s="5" t="str">
        <f>"29"</f>
        <v>29</v>
      </c>
      <c r="E121" s="6">
        <v>112.5</v>
      </c>
      <c r="F121" s="6">
        <v>115.4</v>
      </c>
      <c r="G121" s="6">
        <v>75.9666666666667</v>
      </c>
      <c r="H121" s="6" t="s">
        <v>9</v>
      </c>
    </row>
    <row r="122" ht="20.1" customHeight="1" spans="1:8">
      <c r="A122" s="5" t="str">
        <f t="shared" si="7"/>
        <v>221001</v>
      </c>
      <c r="B122" s="5" t="str">
        <f>"2022110430"</f>
        <v>2022110430</v>
      </c>
      <c r="C122" s="5" t="str">
        <f t="shared" si="6"/>
        <v>04</v>
      </c>
      <c r="D122" s="5" t="str">
        <f>"30"</f>
        <v>30</v>
      </c>
      <c r="E122" s="6">
        <v>120</v>
      </c>
      <c r="F122" s="6">
        <v>107.5</v>
      </c>
      <c r="G122" s="6">
        <v>75.8333333333333</v>
      </c>
      <c r="H122" s="6" t="s">
        <v>9</v>
      </c>
    </row>
    <row r="123" ht="20.1" customHeight="1" spans="1:8">
      <c r="A123" s="5" t="str">
        <f t="shared" si="7"/>
        <v>221001</v>
      </c>
      <c r="B123" s="5" t="str">
        <f>"2022110501"</f>
        <v>2022110501</v>
      </c>
      <c r="C123" s="5" t="str">
        <f t="shared" ref="C123:C152" si="8">"05"</f>
        <v>05</v>
      </c>
      <c r="D123" s="5" t="str">
        <f>"01"</f>
        <v>01</v>
      </c>
      <c r="E123" s="6">
        <v>0</v>
      </c>
      <c r="F123" s="6">
        <v>0</v>
      </c>
      <c r="G123" s="6">
        <v>0</v>
      </c>
      <c r="H123" s="6" t="s">
        <v>10</v>
      </c>
    </row>
    <row r="124" ht="20.1" customHeight="1" spans="1:8">
      <c r="A124" s="5" t="str">
        <f t="shared" si="7"/>
        <v>221001</v>
      </c>
      <c r="B124" s="5" t="str">
        <f>"2022110502"</f>
        <v>2022110502</v>
      </c>
      <c r="C124" s="5" t="str">
        <f t="shared" si="8"/>
        <v>05</v>
      </c>
      <c r="D124" s="5" t="str">
        <f>"02"</f>
        <v>02</v>
      </c>
      <c r="E124" s="6">
        <v>106.5</v>
      </c>
      <c r="F124" s="6">
        <v>107.9</v>
      </c>
      <c r="G124" s="6">
        <v>71.4666666666667</v>
      </c>
      <c r="H124" s="6" t="s">
        <v>9</v>
      </c>
    </row>
    <row r="125" ht="20.1" customHeight="1" spans="1:8">
      <c r="A125" s="5" t="str">
        <f t="shared" si="7"/>
        <v>221001</v>
      </c>
      <c r="B125" s="5" t="str">
        <f>"2022110503"</f>
        <v>2022110503</v>
      </c>
      <c r="C125" s="5" t="str">
        <f t="shared" si="8"/>
        <v>05</v>
      </c>
      <c r="D125" s="5" t="str">
        <f>"03"</f>
        <v>03</v>
      </c>
      <c r="E125" s="6">
        <v>100.5</v>
      </c>
      <c r="F125" s="6">
        <v>112.9</v>
      </c>
      <c r="G125" s="6">
        <v>71.1333333333333</v>
      </c>
      <c r="H125" s="6" t="s">
        <v>9</v>
      </c>
    </row>
    <row r="126" ht="20.1" customHeight="1" spans="1:8">
      <c r="A126" s="5" t="str">
        <f t="shared" ref="A126:A157" si="9">"221002"</f>
        <v>221002</v>
      </c>
      <c r="B126" s="5" t="str">
        <f>"2022110504"</f>
        <v>2022110504</v>
      </c>
      <c r="C126" s="5" t="str">
        <f t="shared" si="8"/>
        <v>05</v>
      </c>
      <c r="D126" s="5" t="str">
        <f>"04"</f>
        <v>04</v>
      </c>
      <c r="E126" s="6">
        <v>120</v>
      </c>
      <c r="F126" s="6">
        <v>116.3</v>
      </c>
      <c r="G126" s="6">
        <v>78.7666666666667</v>
      </c>
      <c r="H126" s="6" t="s">
        <v>9</v>
      </c>
    </row>
    <row r="127" ht="20.1" customHeight="1" spans="1:8">
      <c r="A127" s="5" t="str">
        <f t="shared" si="9"/>
        <v>221002</v>
      </c>
      <c r="B127" s="5" t="str">
        <f>"2022110505"</f>
        <v>2022110505</v>
      </c>
      <c r="C127" s="5" t="str">
        <f t="shared" si="8"/>
        <v>05</v>
      </c>
      <c r="D127" s="5" t="str">
        <f>"05"</f>
        <v>05</v>
      </c>
      <c r="E127" s="6">
        <v>0</v>
      </c>
      <c r="F127" s="6">
        <v>0</v>
      </c>
      <c r="G127" s="6">
        <v>0</v>
      </c>
      <c r="H127" s="6" t="s">
        <v>10</v>
      </c>
    </row>
    <row r="128" ht="20.1" customHeight="1" spans="1:8">
      <c r="A128" s="5" t="str">
        <f t="shared" si="9"/>
        <v>221002</v>
      </c>
      <c r="B128" s="5" t="str">
        <f>"2022110506"</f>
        <v>2022110506</v>
      </c>
      <c r="C128" s="5" t="str">
        <f t="shared" si="8"/>
        <v>05</v>
      </c>
      <c r="D128" s="5" t="str">
        <f>"06"</f>
        <v>06</v>
      </c>
      <c r="E128" s="6">
        <v>120</v>
      </c>
      <c r="F128" s="6">
        <v>113</v>
      </c>
      <c r="G128" s="6">
        <v>77.6666666666667</v>
      </c>
      <c r="H128" s="6" t="s">
        <v>9</v>
      </c>
    </row>
    <row r="129" ht="20.1" customHeight="1" spans="1:8">
      <c r="A129" s="5" t="str">
        <f t="shared" si="9"/>
        <v>221002</v>
      </c>
      <c r="B129" s="5" t="str">
        <f>"2022110507"</f>
        <v>2022110507</v>
      </c>
      <c r="C129" s="5" t="str">
        <f t="shared" si="8"/>
        <v>05</v>
      </c>
      <c r="D129" s="5" t="str">
        <f>"07"</f>
        <v>07</v>
      </c>
      <c r="E129" s="6">
        <v>109.5</v>
      </c>
      <c r="F129" s="6">
        <v>81.3</v>
      </c>
      <c r="G129" s="6">
        <v>63.6</v>
      </c>
      <c r="H129" s="6" t="s">
        <v>9</v>
      </c>
    </row>
    <row r="130" ht="20.1" customHeight="1" spans="1:8">
      <c r="A130" s="5" t="str">
        <f t="shared" si="9"/>
        <v>221002</v>
      </c>
      <c r="B130" s="5" t="str">
        <f>"2022110508"</f>
        <v>2022110508</v>
      </c>
      <c r="C130" s="5" t="str">
        <f t="shared" si="8"/>
        <v>05</v>
      </c>
      <c r="D130" s="5" t="str">
        <f>"08"</f>
        <v>08</v>
      </c>
      <c r="E130" s="6">
        <v>123</v>
      </c>
      <c r="F130" s="6">
        <v>112.5</v>
      </c>
      <c r="G130" s="6">
        <v>78.5</v>
      </c>
      <c r="H130" s="6" t="s">
        <v>9</v>
      </c>
    </row>
    <row r="131" ht="20.1" customHeight="1" spans="1:8">
      <c r="A131" s="5" t="str">
        <f t="shared" si="9"/>
        <v>221002</v>
      </c>
      <c r="B131" s="5" t="str">
        <f>"2022110509"</f>
        <v>2022110509</v>
      </c>
      <c r="C131" s="5" t="str">
        <f t="shared" si="8"/>
        <v>05</v>
      </c>
      <c r="D131" s="5" t="str">
        <f>"09"</f>
        <v>09</v>
      </c>
      <c r="E131" s="6">
        <v>103.5</v>
      </c>
      <c r="F131" s="6">
        <v>103.6</v>
      </c>
      <c r="G131" s="6">
        <v>69.0333333333333</v>
      </c>
      <c r="H131" s="6" t="s">
        <v>9</v>
      </c>
    </row>
    <row r="132" ht="20.1" customHeight="1" spans="1:8">
      <c r="A132" s="5" t="str">
        <f t="shared" si="9"/>
        <v>221002</v>
      </c>
      <c r="B132" s="5" t="str">
        <f>"2022110510"</f>
        <v>2022110510</v>
      </c>
      <c r="C132" s="5" t="str">
        <f t="shared" si="8"/>
        <v>05</v>
      </c>
      <c r="D132" s="5" t="str">
        <f>"10"</f>
        <v>10</v>
      </c>
      <c r="E132" s="6">
        <v>117</v>
      </c>
      <c r="F132" s="6">
        <v>107.7</v>
      </c>
      <c r="G132" s="6">
        <v>74.9</v>
      </c>
      <c r="H132" s="6" t="s">
        <v>9</v>
      </c>
    </row>
    <row r="133" ht="20.1" customHeight="1" spans="1:8">
      <c r="A133" s="5" t="str">
        <f t="shared" si="9"/>
        <v>221002</v>
      </c>
      <c r="B133" s="5" t="str">
        <f>"2022110511"</f>
        <v>2022110511</v>
      </c>
      <c r="C133" s="5" t="str">
        <f t="shared" si="8"/>
        <v>05</v>
      </c>
      <c r="D133" s="5" t="str">
        <f>"11"</f>
        <v>11</v>
      </c>
      <c r="E133" s="6">
        <v>102</v>
      </c>
      <c r="F133" s="6">
        <v>91.4</v>
      </c>
      <c r="G133" s="6">
        <v>64.4666666666667</v>
      </c>
      <c r="H133" s="6" t="s">
        <v>9</v>
      </c>
    </row>
    <row r="134" ht="20.1" customHeight="1" spans="1:8">
      <c r="A134" s="5" t="str">
        <f t="shared" si="9"/>
        <v>221002</v>
      </c>
      <c r="B134" s="5" t="str">
        <f>"2022110512"</f>
        <v>2022110512</v>
      </c>
      <c r="C134" s="5" t="str">
        <f t="shared" si="8"/>
        <v>05</v>
      </c>
      <c r="D134" s="5" t="str">
        <f>"12"</f>
        <v>12</v>
      </c>
      <c r="E134" s="6">
        <v>0</v>
      </c>
      <c r="F134" s="6">
        <v>0</v>
      </c>
      <c r="G134" s="6">
        <v>0</v>
      </c>
      <c r="H134" s="6" t="s">
        <v>10</v>
      </c>
    </row>
    <row r="135" ht="20.1" customHeight="1" spans="1:8">
      <c r="A135" s="5" t="str">
        <f t="shared" si="9"/>
        <v>221002</v>
      </c>
      <c r="B135" s="5" t="str">
        <f>"2022110513"</f>
        <v>2022110513</v>
      </c>
      <c r="C135" s="5" t="str">
        <f t="shared" si="8"/>
        <v>05</v>
      </c>
      <c r="D135" s="5" t="str">
        <f>"13"</f>
        <v>13</v>
      </c>
      <c r="E135" s="6">
        <v>0</v>
      </c>
      <c r="F135" s="6">
        <v>0</v>
      </c>
      <c r="G135" s="6">
        <v>0</v>
      </c>
      <c r="H135" s="6" t="s">
        <v>10</v>
      </c>
    </row>
    <row r="136" ht="20.1" customHeight="1" spans="1:8">
      <c r="A136" s="5" t="str">
        <f t="shared" si="9"/>
        <v>221002</v>
      </c>
      <c r="B136" s="5" t="str">
        <f>"2022110514"</f>
        <v>2022110514</v>
      </c>
      <c r="C136" s="5" t="str">
        <f t="shared" si="8"/>
        <v>05</v>
      </c>
      <c r="D136" s="5" t="str">
        <f>"14"</f>
        <v>14</v>
      </c>
      <c r="E136" s="6">
        <v>93</v>
      </c>
      <c r="F136" s="6">
        <v>116.6</v>
      </c>
      <c r="G136" s="6">
        <v>69.8666666666667</v>
      </c>
      <c r="H136" s="6" t="s">
        <v>9</v>
      </c>
    </row>
    <row r="137" ht="20.1" customHeight="1" spans="1:8">
      <c r="A137" s="5" t="str">
        <f t="shared" si="9"/>
        <v>221002</v>
      </c>
      <c r="B137" s="5" t="str">
        <f>"2022110515"</f>
        <v>2022110515</v>
      </c>
      <c r="C137" s="5" t="str">
        <f t="shared" si="8"/>
        <v>05</v>
      </c>
      <c r="D137" s="5" t="str">
        <f>"15"</f>
        <v>15</v>
      </c>
      <c r="E137" s="6">
        <v>109.5</v>
      </c>
      <c r="F137" s="6">
        <v>114.7</v>
      </c>
      <c r="G137" s="6">
        <v>74.7333333333333</v>
      </c>
      <c r="H137" s="6" t="s">
        <v>9</v>
      </c>
    </row>
    <row r="138" ht="20.1" customHeight="1" spans="1:8">
      <c r="A138" s="5" t="str">
        <f t="shared" si="9"/>
        <v>221002</v>
      </c>
      <c r="B138" s="5" t="str">
        <f>"2022110516"</f>
        <v>2022110516</v>
      </c>
      <c r="C138" s="5" t="str">
        <f t="shared" si="8"/>
        <v>05</v>
      </c>
      <c r="D138" s="5" t="str">
        <f>"16"</f>
        <v>16</v>
      </c>
      <c r="E138" s="6">
        <v>108</v>
      </c>
      <c r="F138" s="6">
        <v>110.4</v>
      </c>
      <c r="G138" s="6">
        <v>72.8</v>
      </c>
      <c r="H138" s="6" t="s">
        <v>9</v>
      </c>
    </row>
    <row r="139" ht="20.1" customHeight="1" spans="1:8">
      <c r="A139" s="5" t="str">
        <f t="shared" si="9"/>
        <v>221002</v>
      </c>
      <c r="B139" s="5" t="str">
        <f>"2022110517"</f>
        <v>2022110517</v>
      </c>
      <c r="C139" s="5" t="str">
        <f t="shared" si="8"/>
        <v>05</v>
      </c>
      <c r="D139" s="5" t="str">
        <f>"17"</f>
        <v>17</v>
      </c>
      <c r="E139" s="6">
        <v>0</v>
      </c>
      <c r="F139" s="6">
        <v>0</v>
      </c>
      <c r="G139" s="6">
        <v>0</v>
      </c>
      <c r="H139" s="6" t="s">
        <v>10</v>
      </c>
    </row>
    <row r="140" ht="20.1" customHeight="1" spans="1:8">
      <c r="A140" s="5" t="str">
        <f t="shared" si="9"/>
        <v>221002</v>
      </c>
      <c r="B140" s="5" t="str">
        <f>"2022110518"</f>
        <v>2022110518</v>
      </c>
      <c r="C140" s="5" t="str">
        <f t="shared" si="8"/>
        <v>05</v>
      </c>
      <c r="D140" s="5" t="str">
        <f>"18"</f>
        <v>18</v>
      </c>
      <c r="E140" s="6">
        <v>121.5</v>
      </c>
      <c r="F140" s="6">
        <v>103.5</v>
      </c>
      <c r="G140" s="6">
        <v>75</v>
      </c>
      <c r="H140" s="6" t="s">
        <v>9</v>
      </c>
    </row>
    <row r="141" ht="20.1" customHeight="1" spans="1:8">
      <c r="A141" s="5" t="str">
        <f t="shared" si="9"/>
        <v>221002</v>
      </c>
      <c r="B141" s="5" t="str">
        <f>"2022110519"</f>
        <v>2022110519</v>
      </c>
      <c r="C141" s="5" t="str">
        <f t="shared" si="8"/>
        <v>05</v>
      </c>
      <c r="D141" s="5" t="str">
        <f>"19"</f>
        <v>19</v>
      </c>
      <c r="E141" s="6">
        <v>121.5</v>
      </c>
      <c r="F141" s="6">
        <v>109.8</v>
      </c>
      <c r="G141" s="6">
        <v>77.1</v>
      </c>
      <c r="H141" s="6" t="s">
        <v>9</v>
      </c>
    </row>
    <row r="142" ht="20.1" customHeight="1" spans="1:8">
      <c r="A142" s="5" t="str">
        <f t="shared" si="9"/>
        <v>221002</v>
      </c>
      <c r="B142" s="5" t="str">
        <f>"2022110520"</f>
        <v>2022110520</v>
      </c>
      <c r="C142" s="5" t="str">
        <f t="shared" si="8"/>
        <v>05</v>
      </c>
      <c r="D142" s="5" t="str">
        <f>"20"</f>
        <v>20</v>
      </c>
      <c r="E142" s="6">
        <v>102</v>
      </c>
      <c r="F142" s="6">
        <v>88.6</v>
      </c>
      <c r="G142" s="6">
        <v>63.5333333333333</v>
      </c>
      <c r="H142" s="6" t="s">
        <v>9</v>
      </c>
    </row>
    <row r="143" ht="20.1" customHeight="1" spans="1:8">
      <c r="A143" s="5" t="str">
        <f t="shared" si="9"/>
        <v>221002</v>
      </c>
      <c r="B143" s="5" t="str">
        <f>"2022110521"</f>
        <v>2022110521</v>
      </c>
      <c r="C143" s="5" t="str">
        <f t="shared" si="8"/>
        <v>05</v>
      </c>
      <c r="D143" s="5" t="str">
        <f>"21"</f>
        <v>21</v>
      </c>
      <c r="E143" s="6">
        <v>126</v>
      </c>
      <c r="F143" s="6">
        <v>103.2</v>
      </c>
      <c r="G143" s="6">
        <v>76.4</v>
      </c>
      <c r="H143" s="6" t="s">
        <v>9</v>
      </c>
    </row>
    <row r="144" ht="20.1" customHeight="1" spans="1:8">
      <c r="A144" s="5" t="str">
        <f t="shared" si="9"/>
        <v>221002</v>
      </c>
      <c r="B144" s="5" t="str">
        <f>"2022110522"</f>
        <v>2022110522</v>
      </c>
      <c r="C144" s="5" t="str">
        <f t="shared" si="8"/>
        <v>05</v>
      </c>
      <c r="D144" s="5" t="str">
        <f>"22"</f>
        <v>22</v>
      </c>
      <c r="E144" s="6">
        <v>126</v>
      </c>
      <c r="F144" s="6">
        <v>119</v>
      </c>
      <c r="G144" s="6">
        <v>81.6666666666667</v>
      </c>
      <c r="H144" s="7" t="s">
        <v>11</v>
      </c>
    </row>
    <row r="145" ht="20.1" customHeight="1" spans="1:8">
      <c r="A145" s="5" t="str">
        <f t="shared" si="9"/>
        <v>221002</v>
      </c>
      <c r="B145" s="5" t="str">
        <f>"2022110523"</f>
        <v>2022110523</v>
      </c>
      <c r="C145" s="5" t="str">
        <f t="shared" si="8"/>
        <v>05</v>
      </c>
      <c r="D145" s="5" t="str">
        <f>"23"</f>
        <v>23</v>
      </c>
      <c r="E145" s="6">
        <v>99</v>
      </c>
      <c r="F145" s="6">
        <v>102.3</v>
      </c>
      <c r="G145" s="6">
        <v>67.1</v>
      </c>
      <c r="H145" s="6" t="s">
        <v>9</v>
      </c>
    </row>
    <row r="146" ht="20.1" customHeight="1" spans="1:8">
      <c r="A146" s="5" t="str">
        <f t="shared" si="9"/>
        <v>221002</v>
      </c>
      <c r="B146" s="5" t="str">
        <f>"2022110524"</f>
        <v>2022110524</v>
      </c>
      <c r="C146" s="5" t="str">
        <f t="shared" si="8"/>
        <v>05</v>
      </c>
      <c r="D146" s="5" t="str">
        <f>"24"</f>
        <v>24</v>
      </c>
      <c r="E146" s="6">
        <v>124.5</v>
      </c>
      <c r="F146" s="6">
        <v>109.7</v>
      </c>
      <c r="G146" s="6">
        <v>78.0666666666667</v>
      </c>
      <c r="H146" s="6" t="s">
        <v>9</v>
      </c>
    </row>
    <row r="147" ht="20.1" customHeight="1" spans="1:8">
      <c r="A147" s="5" t="str">
        <f t="shared" si="9"/>
        <v>221002</v>
      </c>
      <c r="B147" s="5" t="str">
        <f>"2022110525"</f>
        <v>2022110525</v>
      </c>
      <c r="C147" s="5" t="str">
        <f t="shared" si="8"/>
        <v>05</v>
      </c>
      <c r="D147" s="5" t="str">
        <f>"25"</f>
        <v>25</v>
      </c>
      <c r="E147" s="6">
        <v>87</v>
      </c>
      <c r="F147" s="6">
        <v>102.6</v>
      </c>
      <c r="G147" s="6">
        <v>63.2</v>
      </c>
      <c r="H147" s="6" t="s">
        <v>9</v>
      </c>
    </row>
    <row r="148" ht="20.1" customHeight="1" spans="1:8">
      <c r="A148" s="5" t="str">
        <f t="shared" si="9"/>
        <v>221002</v>
      </c>
      <c r="B148" s="5" t="str">
        <f>"2022110526"</f>
        <v>2022110526</v>
      </c>
      <c r="C148" s="5" t="str">
        <f t="shared" si="8"/>
        <v>05</v>
      </c>
      <c r="D148" s="5" t="str">
        <f>"26"</f>
        <v>26</v>
      </c>
      <c r="E148" s="6">
        <v>0</v>
      </c>
      <c r="F148" s="6">
        <v>0</v>
      </c>
      <c r="G148" s="6">
        <v>0</v>
      </c>
      <c r="H148" s="6" t="s">
        <v>10</v>
      </c>
    </row>
    <row r="149" ht="20.1" customHeight="1" spans="1:8">
      <c r="A149" s="5" t="str">
        <f t="shared" si="9"/>
        <v>221002</v>
      </c>
      <c r="B149" s="5" t="str">
        <f>"2022110527"</f>
        <v>2022110527</v>
      </c>
      <c r="C149" s="5" t="str">
        <f t="shared" si="8"/>
        <v>05</v>
      </c>
      <c r="D149" s="5" t="str">
        <f>"27"</f>
        <v>27</v>
      </c>
      <c r="E149" s="6">
        <v>0</v>
      </c>
      <c r="F149" s="6">
        <v>0</v>
      </c>
      <c r="G149" s="6">
        <v>0</v>
      </c>
      <c r="H149" s="6" t="s">
        <v>10</v>
      </c>
    </row>
    <row r="150" ht="20.1" customHeight="1" spans="1:8">
      <c r="A150" s="5" t="str">
        <f t="shared" si="9"/>
        <v>221002</v>
      </c>
      <c r="B150" s="5" t="str">
        <f>"2022110528"</f>
        <v>2022110528</v>
      </c>
      <c r="C150" s="5" t="str">
        <f t="shared" si="8"/>
        <v>05</v>
      </c>
      <c r="D150" s="5" t="str">
        <f>"28"</f>
        <v>28</v>
      </c>
      <c r="E150" s="6">
        <v>85.5</v>
      </c>
      <c r="F150" s="6">
        <v>95.1</v>
      </c>
      <c r="G150" s="6">
        <v>60.2</v>
      </c>
      <c r="H150" s="6" t="s">
        <v>9</v>
      </c>
    </row>
    <row r="151" ht="20.1" customHeight="1" spans="1:8">
      <c r="A151" s="5" t="str">
        <f t="shared" si="9"/>
        <v>221002</v>
      </c>
      <c r="B151" s="5" t="str">
        <f>"2022110529"</f>
        <v>2022110529</v>
      </c>
      <c r="C151" s="5" t="str">
        <f t="shared" si="8"/>
        <v>05</v>
      </c>
      <c r="D151" s="5" t="str">
        <f>"29"</f>
        <v>29</v>
      </c>
      <c r="E151" s="6">
        <v>115.5</v>
      </c>
      <c r="F151" s="6">
        <v>115.7</v>
      </c>
      <c r="G151" s="6">
        <v>77.0666666666667</v>
      </c>
      <c r="H151" s="6" t="s">
        <v>9</v>
      </c>
    </row>
    <row r="152" ht="20.1" customHeight="1" spans="1:8">
      <c r="A152" s="5" t="str">
        <f t="shared" si="9"/>
        <v>221002</v>
      </c>
      <c r="B152" s="5" t="str">
        <f>"2022110530"</f>
        <v>2022110530</v>
      </c>
      <c r="C152" s="5" t="str">
        <f t="shared" si="8"/>
        <v>05</v>
      </c>
      <c r="D152" s="5" t="str">
        <f>"30"</f>
        <v>30</v>
      </c>
      <c r="E152" s="6">
        <v>117</v>
      </c>
      <c r="F152" s="6">
        <v>114.6</v>
      </c>
      <c r="G152" s="6">
        <v>77.2</v>
      </c>
      <c r="H152" s="6" t="s">
        <v>9</v>
      </c>
    </row>
    <row r="153" ht="20.1" customHeight="1" spans="1:8">
      <c r="A153" s="5" t="str">
        <f t="shared" si="9"/>
        <v>221002</v>
      </c>
      <c r="B153" s="5" t="str">
        <f>"2022110601"</f>
        <v>2022110601</v>
      </c>
      <c r="C153" s="5" t="str">
        <f t="shared" ref="C153:C182" si="10">"06"</f>
        <v>06</v>
      </c>
      <c r="D153" s="5" t="str">
        <f>"01"</f>
        <v>01</v>
      </c>
      <c r="E153" s="6">
        <v>135</v>
      </c>
      <c r="F153" s="6">
        <v>110.1</v>
      </c>
      <c r="G153" s="6">
        <v>81.7</v>
      </c>
      <c r="H153" s="7" t="s">
        <v>11</v>
      </c>
    </row>
    <row r="154" ht="20.1" customHeight="1" spans="1:8">
      <c r="A154" s="5" t="str">
        <f t="shared" si="9"/>
        <v>221002</v>
      </c>
      <c r="B154" s="5" t="str">
        <f>"2022110602"</f>
        <v>2022110602</v>
      </c>
      <c r="C154" s="5" t="str">
        <f t="shared" si="10"/>
        <v>06</v>
      </c>
      <c r="D154" s="5" t="str">
        <f>"02"</f>
        <v>02</v>
      </c>
      <c r="E154" s="6">
        <v>121.5</v>
      </c>
      <c r="F154" s="6">
        <v>106.1</v>
      </c>
      <c r="G154" s="6">
        <v>75.8666666666667</v>
      </c>
      <c r="H154" s="6" t="s">
        <v>9</v>
      </c>
    </row>
    <row r="155" ht="20.1" customHeight="1" spans="1:8">
      <c r="A155" s="5" t="str">
        <f t="shared" si="9"/>
        <v>221002</v>
      </c>
      <c r="B155" s="5" t="str">
        <f>"2022110603"</f>
        <v>2022110603</v>
      </c>
      <c r="C155" s="5" t="str">
        <f t="shared" si="10"/>
        <v>06</v>
      </c>
      <c r="D155" s="5" t="str">
        <f>"03"</f>
        <v>03</v>
      </c>
      <c r="E155" s="6">
        <v>0</v>
      </c>
      <c r="F155" s="6">
        <v>0</v>
      </c>
      <c r="G155" s="6">
        <v>0</v>
      </c>
      <c r="H155" s="6" t="s">
        <v>10</v>
      </c>
    </row>
    <row r="156" ht="20.1" customHeight="1" spans="1:8">
      <c r="A156" s="5" t="str">
        <f t="shared" si="9"/>
        <v>221002</v>
      </c>
      <c r="B156" s="5" t="str">
        <f>"2022110604"</f>
        <v>2022110604</v>
      </c>
      <c r="C156" s="5" t="str">
        <f t="shared" si="10"/>
        <v>06</v>
      </c>
      <c r="D156" s="5" t="str">
        <f>"04"</f>
        <v>04</v>
      </c>
      <c r="E156" s="6">
        <v>106.5</v>
      </c>
      <c r="F156" s="6">
        <v>112.9</v>
      </c>
      <c r="G156" s="6">
        <v>73.1333333333333</v>
      </c>
      <c r="H156" s="6" t="s">
        <v>9</v>
      </c>
    </row>
    <row r="157" ht="20.1" customHeight="1" spans="1:8">
      <c r="A157" s="5" t="str">
        <f t="shared" si="9"/>
        <v>221002</v>
      </c>
      <c r="B157" s="5" t="str">
        <f>"2022110605"</f>
        <v>2022110605</v>
      </c>
      <c r="C157" s="5" t="str">
        <f t="shared" si="10"/>
        <v>06</v>
      </c>
      <c r="D157" s="5" t="str">
        <f>"05"</f>
        <v>05</v>
      </c>
      <c r="E157" s="6">
        <v>0</v>
      </c>
      <c r="F157" s="6">
        <v>0</v>
      </c>
      <c r="G157" s="6">
        <v>0</v>
      </c>
      <c r="H157" s="6" t="s">
        <v>10</v>
      </c>
    </row>
    <row r="158" ht="20.1" customHeight="1" spans="1:8">
      <c r="A158" s="5" t="str">
        <f t="shared" ref="A158:A189" si="11">"221002"</f>
        <v>221002</v>
      </c>
      <c r="B158" s="5" t="str">
        <f>"2022110606"</f>
        <v>2022110606</v>
      </c>
      <c r="C158" s="5" t="str">
        <f t="shared" si="10"/>
        <v>06</v>
      </c>
      <c r="D158" s="5" t="str">
        <f>"06"</f>
        <v>06</v>
      </c>
      <c r="E158" s="6">
        <v>0</v>
      </c>
      <c r="F158" s="6">
        <v>0</v>
      </c>
      <c r="G158" s="6">
        <v>0</v>
      </c>
      <c r="H158" s="6" t="s">
        <v>10</v>
      </c>
    </row>
    <row r="159" ht="20.1" customHeight="1" spans="1:8">
      <c r="A159" s="5" t="str">
        <f t="shared" si="11"/>
        <v>221002</v>
      </c>
      <c r="B159" s="5" t="str">
        <f>"2022110607"</f>
        <v>2022110607</v>
      </c>
      <c r="C159" s="5" t="str">
        <f t="shared" si="10"/>
        <v>06</v>
      </c>
      <c r="D159" s="5" t="str">
        <f>"07"</f>
        <v>07</v>
      </c>
      <c r="E159" s="6">
        <v>60</v>
      </c>
      <c r="F159" s="6">
        <v>96</v>
      </c>
      <c r="G159" s="6">
        <v>52</v>
      </c>
      <c r="H159" s="6" t="s">
        <v>9</v>
      </c>
    </row>
    <row r="160" ht="20.1" customHeight="1" spans="1:8">
      <c r="A160" s="5" t="str">
        <f t="shared" si="11"/>
        <v>221002</v>
      </c>
      <c r="B160" s="5" t="str">
        <f>"2022110608"</f>
        <v>2022110608</v>
      </c>
      <c r="C160" s="5" t="str">
        <f t="shared" si="10"/>
        <v>06</v>
      </c>
      <c r="D160" s="5" t="str">
        <f>"08"</f>
        <v>08</v>
      </c>
      <c r="E160" s="6">
        <v>111</v>
      </c>
      <c r="F160" s="6">
        <v>94.2</v>
      </c>
      <c r="G160" s="6">
        <v>68.4</v>
      </c>
      <c r="H160" s="6" t="s">
        <v>9</v>
      </c>
    </row>
    <row r="161" ht="20.1" customHeight="1" spans="1:8">
      <c r="A161" s="5" t="str">
        <f t="shared" si="11"/>
        <v>221002</v>
      </c>
      <c r="B161" s="5" t="str">
        <f>"2022110609"</f>
        <v>2022110609</v>
      </c>
      <c r="C161" s="5" t="str">
        <f t="shared" si="10"/>
        <v>06</v>
      </c>
      <c r="D161" s="5" t="str">
        <f>"09"</f>
        <v>09</v>
      </c>
      <c r="E161" s="6">
        <v>118.5</v>
      </c>
      <c r="F161" s="6">
        <v>114.5</v>
      </c>
      <c r="G161" s="6">
        <v>77.6666666666667</v>
      </c>
      <c r="H161" s="6" t="s">
        <v>9</v>
      </c>
    </row>
    <row r="162" ht="20.1" customHeight="1" spans="1:8">
      <c r="A162" s="5" t="str">
        <f t="shared" si="11"/>
        <v>221002</v>
      </c>
      <c r="B162" s="5" t="str">
        <f>"2022110610"</f>
        <v>2022110610</v>
      </c>
      <c r="C162" s="5" t="str">
        <f t="shared" si="10"/>
        <v>06</v>
      </c>
      <c r="D162" s="5" t="str">
        <f>"10"</f>
        <v>10</v>
      </c>
      <c r="E162" s="6">
        <v>123</v>
      </c>
      <c r="F162" s="6">
        <v>111.7</v>
      </c>
      <c r="G162" s="6">
        <v>78.2333333333333</v>
      </c>
      <c r="H162" s="6" t="s">
        <v>9</v>
      </c>
    </row>
    <row r="163" ht="20.1" customHeight="1" spans="1:8">
      <c r="A163" s="5" t="str">
        <f t="shared" si="11"/>
        <v>221002</v>
      </c>
      <c r="B163" s="5" t="str">
        <f>"2022110611"</f>
        <v>2022110611</v>
      </c>
      <c r="C163" s="5" t="str">
        <f t="shared" si="10"/>
        <v>06</v>
      </c>
      <c r="D163" s="5" t="str">
        <f>"11"</f>
        <v>11</v>
      </c>
      <c r="E163" s="6">
        <v>0</v>
      </c>
      <c r="F163" s="6">
        <v>0</v>
      </c>
      <c r="G163" s="6">
        <v>0</v>
      </c>
      <c r="H163" s="6" t="s">
        <v>10</v>
      </c>
    </row>
    <row r="164" ht="20.1" customHeight="1" spans="1:8">
      <c r="A164" s="5" t="str">
        <f t="shared" si="11"/>
        <v>221002</v>
      </c>
      <c r="B164" s="5" t="str">
        <f>"2022110612"</f>
        <v>2022110612</v>
      </c>
      <c r="C164" s="5" t="str">
        <f t="shared" si="10"/>
        <v>06</v>
      </c>
      <c r="D164" s="5" t="str">
        <f>"12"</f>
        <v>12</v>
      </c>
      <c r="E164" s="6">
        <v>97.5</v>
      </c>
      <c r="F164" s="6">
        <v>105.6</v>
      </c>
      <c r="G164" s="6">
        <v>67.7</v>
      </c>
      <c r="H164" s="6" t="s">
        <v>9</v>
      </c>
    </row>
    <row r="165" ht="20.1" customHeight="1" spans="1:8">
      <c r="A165" s="5" t="str">
        <f t="shared" si="11"/>
        <v>221002</v>
      </c>
      <c r="B165" s="5" t="str">
        <f>"2022110613"</f>
        <v>2022110613</v>
      </c>
      <c r="C165" s="5" t="str">
        <f t="shared" si="10"/>
        <v>06</v>
      </c>
      <c r="D165" s="5" t="str">
        <f>"13"</f>
        <v>13</v>
      </c>
      <c r="E165" s="6">
        <v>0</v>
      </c>
      <c r="F165" s="6">
        <v>0</v>
      </c>
      <c r="G165" s="6">
        <v>0</v>
      </c>
      <c r="H165" s="6" t="s">
        <v>10</v>
      </c>
    </row>
    <row r="166" ht="20.1" customHeight="1" spans="1:8">
      <c r="A166" s="5" t="str">
        <f t="shared" si="11"/>
        <v>221002</v>
      </c>
      <c r="B166" s="5" t="str">
        <f>"2022110614"</f>
        <v>2022110614</v>
      </c>
      <c r="C166" s="5" t="str">
        <f t="shared" si="10"/>
        <v>06</v>
      </c>
      <c r="D166" s="5" t="str">
        <f>"14"</f>
        <v>14</v>
      </c>
      <c r="E166" s="6">
        <v>102</v>
      </c>
      <c r="F166" s="6">
        <v>105.7</v>
      </c>
      <c r="G166" s="6">
        <v>69.2333333333333</v>
      </c>
      <c r="H166" s="6" t="s">
        <v>9</v>
      </c>
    </row>
    <row r="167" ht="20.1" customHeight="1" spans="1:8">
      <c r="A167" s="5" t="str">
        <f t="shared" si="11"/>
        <v>221002</v>
      </c>
      <c r="B167" s="5" t="str">
        <f>"2022110615"</f>
        <v>2022110615</v>
      </c>
      <c r="C167" s="5" t="str">
        <f t="shared" si="10"/>
        <v>06</v>
      </c>
      <c r="D167" s="5" t="str">
        <f>"15"</f>
        <v>15</v>
      </c>
      <c r="E167" s="6">
        <v>0</v>
      </c>
      <c r="F167" s="6">
        <v>0</v>
      </c>
      <c r="G167" s="6">
        <v>0</v>
      </c>
      <c r="H167" s="6" t="s">
        <v>10</v>
      </c>
    </row>
    <row r="168" ht="20.1" customHeight="1" spans="1:8">
      <c r="A168" s="5" t="str">
        <f t="shared" si="11"/>
        <v>221002</v>
      </c>
      <c r="B168" s="5" t="str">
        <f>"2022110616"</f>
        <v>2022110616</v>
      </c>
      <c r="C168" s="5" t="str">
        <f t="shared" si="10"/>
        <v>06</v>
      </c>
      <c r="D168" s="5" t="str">
        <f>"16"</f>
        <v>16</v>
      </c>
      <c r="E168" s="6">
        <v>0</v>
      </c>
      <c r="F168" s="6">
        <v>0</v>
      </c>
      <c r="G168" s="6">
        <v>0</v>
      </c>
      <c r="H168" s="6" t="s">
        <v>10</v>
      </c>
    </row>
    <row r="169" ht="20.1" customHeight="1" spans="1:8">
      <c r="A169" s="5" t="str">
        <f t="shared" si="11"/>
        <v>221002</v>
      </c>
      <c r="B169" s="5" t="str">
        <f>"2022110617"</f>
        <v>2022110617</v>
      </c>
      <c r="C169" s="5" t="str">
        <f t="shared" si="10"/>
        <v>06</v>
      </c>
      <c r="D169" s="5" t="str">
        <f>"17"</f>
        <v>17</v>
      </c>
      <c r="E169" s="6">
        <v>0</v>
      </c>
      <c r="F169" s="6">
        <v>0</v>
      </c>
      <c r="G169" s="6">
        <v>0</v>
      </c>
      <c r="H169" s="6" t="s">
        <v>10</v>
      </c>
    </row>
    <row r="170" ht="20.1" customHeight="1" spans="1:8">
      <c r="A170" s="5" t="str">
        <f t="shared" si="11"/>
        <v>221002</v>
      </c>
      <c r="B170" s="5" t="str">
        <f>"2022110618"</f>
        <v>2022110618</v>
      </c>
      <c r="C170" s="5" t="str">
        <f t="shared" si="10"/>
        <v>06</v>
      </c>
      <c r="D170" s="5" t="str">
        <f>"18"</f>
        <v>18</v>
      </c>
      <c r="E170" s="6">
        <v>106.5</v>
      </c>
      <c r="F170" s="6">
        <v>74</v>
      </c>
      <c r="G170" s="6">
        <v>60.1666666666667</v>
      </c>
      <c r="H170" s="6" t="s">
        <v>9</v>
      </c>
    </row>
    <row r="171" ht="20.1" customHeight="1" spans="1:8">
      <c r="A171" s="5" t="str">
        <f t="shared" si="11"/>
        <v>221002</v>
      </c>
      <c r="B171" s="5" t="str">
        <f>"2022110619"</f>
        <v>2022110619</v>
      </c>
      <c r="C171" s="5" t="str">
        <f t="shared" si="10"/>
        <v>06</v>
      </c>
      <c r="D171" s="5" t="str">
        <f>"19"</f>
        <v>19</v>
      </c>
      <c r="E171" s="6">
        <v>0</v>
      </c>
      <c r="F171" s="6">
        <v>0</v>
      </c>
      <c r="G171" s="6">
        <v>0</v>
      </c>
      <c r="H171" s="6" t="s">
        <v>10</v>
      </c>
    </row>
    <row r="172" ht="20.1" customHeight="1" spans="1:8">
      <c r="A172" s="5" t="str">
        <f t="shared" si="11"/>
        <v>221002</v>
      </c>
      <c r="B172" s="5" t="str">
        <f>"2022110620"</f>
        <v>2022110620</v>
      </c>
      <c r="C172" s="5" t="str">
        <f t="shared" si="10"/>
        <v>06</v>
      </c>
      <c r="D172" s="5" t="str">
        <f>"20"</f>
        <v>20</v>
      </c>
      <c r="E172" s="6">
        <v>114</v>
      </c>
      <c r="F172" s="6">
        <v>117.3</v>
      </c>
      <c r="G172" s="6">
        <v>77.1</v>
      </c>
      <c r="H172" s="6" t="s">
        <v>9</v>
      </c>
    </row>
    <row r="173" ht="20.1" customHeight="1" spans="1:8">
      <c r="A173" s="5" t="str">
        <f t="shared" si="11"/>
        <v>221002</v>
      </c>
      <c r="B173" s="5" t="str">
        <f>"2022110621"</f>
        <v>2022110621</v>
      </c>
      <c r="C173" s="5" t="str">
        <f t="shared" si="10"/>
        <v>06</v>
      </c>
      <c r="D173" s="5" t="str">
        <f>"21"</f>
        <v>21</v>
      </c>
      <c r="E173" s="6">
        <v>121.5</v>
      </c>
      <c r="F173" s="6">
        <v>109.7</v>
      </c>
      <c r="G173" s="6">
        <v>77.0666666666667</v>
      </c>
      <c r="H173" s="6" t="s">
        <v>9</v>
      </c>
    </row>
    <row r="174" ht="20.1" customHeight="1" spans="1:8">
      <c r="A174" s="5" t="str">
        <f t="shared" si="11"/>
        <v>221002</v>
      </c>
      <c r="B174" s="5" t="str">
        <f>"2022110622"</f>
        <v>2022110622</v>
      </c>
      <c r="C174" s="5" t="str">
        <f t="shared" si="10"/>
        <v>06</v>
      </c>
      <c r="D174" s="5" t="str">
        <f>"22"</f>
        <v>22</v>
      </c>
      <c r="E174" s="6">
        <v>124.5</v>
      </c>
      <c r="F174" s="6">
        <v>103.6</v>
      </c>
      <c r="G174" s="6">
        <v>76.0333333333333</v>
      </c>
      <c r="H174" s="6" t="s">
        <v>9</v>
      </c>
    </row>
    <row r="175" ht="20.1" customHeight="1" spans="1:8">
      <c r="A175" s="5" t="str">
        <f t="shared" si="11"/>
        <v>221002</v>
      </c>
      <c r="B175" s="5" t="str">
        <f>"2022110623"</f>
        <v>2022110623</v>
      </c>
      <c r="C175" s="5" t="str">
        <f t="shared" si="10"/>
        <v>06</v>
      </c>
      <c r="D175" s="5" t="str">
        <f>"23"</f>
        <v>23</v>
      </c>
      <c r="E175" s="6">
        <v>112.5</v>
      </c>
      <c r="F175" s="6">
        <v>104.8</v>
      </c>
      <c r="G175" s="6">
        <v>72.4333333333333</v>
      </c>
      <c r="H175" s="6" t="s">
        <v>9</v>
      </c>
    </row>
    <row r="176" ht="20.1" customHeight="1" spans="1:8">
      <c r="A176" s="5" t="str">
        <f t="shared" si="11"/>
        <v>221002</v>
      </c>
      <c r="B176" s="5" t="str">
        <f>"2022110624"</f>
        <v>2022110624</v>
      </c>
      <c r="C176" s="5" t="str">
        <f t="shared" si="10"/>
        <v>06</v>
      </c>
      <c r="D176" s="5" t="str">
        <f>"24"</f>
        <v>24</v>
      </c>
      <c r="E176" s="6">
        <v>100.5</v>
      </c>
      <c r="F176" s="6">
        <v>86.1</v>
      </c>
      <c r="G176" s="6">
        <v>62.2</v>
      </c>
      <c r="H176" s="6" t="s">
        <v>9</v>
      </c>
    </row>
    <row r="177" ht="20.1" customHeight="1" spans="1:8">
      <c r="A177" s="5" t="str">
        <f t="shared" si="11"/>
        <v>221002</v>
      </c>
      <c r="B177" s="5" t="str">
        <f>"2022110625"</f>
        <v>2022110625</v>
      </c>
      <c r="C177" s="5" t="str">
        <f t="shared" si="10"/>
        <v>06</v>
      </c>
      <c r="D177" s="5" t="str">
        <f>"25"</f>
        <v>25</v>
      </c>
      <c r="E177" s="6">
        <v>0</v>
      </c>
      <c r="F177" s="6">
        <v>0</v>
      </c>
      <c r="G177" s="6">
        <v>0</v>
      </c>
      <c r="H177" s="6" t="s">
        <v>10</v>
      </c>
    </row>
    <row r="178" ht="20.1" customHeight="1" spans="1:8">
      <c r="A178" s="5" t="str">
        <f t="shared" si="11"/>
        <v>221002</v>
      </c>
      <c r="B178" s="5" t="str">
        <f>"2022110626"</f>
        <v>2022110626</v>
      </c>
      <c r="C178" s="5" t="str">
        <f t="shared" si="10"/>
        <v>06</v>
      </c>
      <c r="D178" s="5" t="str">
        <f>"26"</f>
        <v>26</v>
      </c>
      <c r="E178" s="6">
        <v>0</v>
      </c>
      <c r="F178" s="6">
        <v>0</v>
      </c>
      <c r="G178" s="6">
        <v>0</v>
      </c>
      <c r="H178" s="6" t="s">
        <v>10</v>
      </c>
    </row>
    <row r="179" ht="20.1" customHeight="1" spans="1:8">
      <c r="A179" s="5" t="str">
        <f t="shared" si="11"/>
        <v>221002</v>
      </c>
      <c r="B179" s="5" t="str">
        <f>"2022110627"</f>
        <v>2022110627</v>
      </c>
      <c r="C179" s="5" t="str">
        <f t="shared" si="10"/>
        <v>06</v>
      </c>
      <c r="D179" s="5" t="str">
        <f>"27"</f>
        <v>27</v>
      </c>
      <c r="E179" s="6">
        <v>115.5</v>
      </c>
      <c r="F179" s="6">
        <v>112.3</v>
      </c>
      <c r="G179" s="6">
        <v>75.9333333333333</v>
      </c>
      <c r="H179" s="6" t="s">
        <v>9</v>
      </c>
    </row>
    <row r="180" ht="20.1" customHeight="1" spans="1:8">
      <c r="A180" s="5" t="str">
        <f t="shared" si="11"/>
        <v>221002</v>
      </c>
      <c r="B180" s="5" t="str">
        <f>"2022110628"</f>
        <v>2022110628</v>
      </c>
      <c r="C180" s="5" t="str">
        <f t="shared" si="10"/>
        <v>06</v>
      </c>
      <c r="D180" s="5" t="str">
        <f>"28"</f>
        <v>28</v>
      </c>
      <c r="E180" s="6">
        <v>97.5</v>
      </c>
      <c r="F180" s="6">
        <v>90.3</v>
      </c>
      <c r="G180" s="6">
        <v>62.6</v>
      </c>
      <c r="H180" s="6" t="s">
        <v>9</v>
      </c>
    </row>
    <row r="181" ht="20.1" customHeight="1" spans="1:8">
      <c r="A181" s="5" t="str">
        <f t="shared" si="11"/>
        <v>221002</v>
      </c>
      <c r="B181" s="5" t="str">
        <f>"2022110629"</f>
        <v>2022110629</v>
      </c>
      <c r="C181" s="5" t="str">
        <f t="shared" si="10"/>
        <v>06</v>
      </c>
      <c r="D181" s="5" t="str">
        <f>"29"</f>
        <v>29</v>
      </c>
      <c r="E181" s="6">
        <v>114</v>
      </c>
      <c r="F181" s="6">
        <v>111.2</v>
      </c>
      <c r="G181" s="6">
        <v>75.0666666666667</v>
      </c>
      <c r="H181" s="6" t="s">
        <v>9</v>
      </c>
    </row>
    <row r="182" ht="20.1" customHeight="1" spans="1:8">
      <c r="A182" s="5" t="str">
        <f t="shared" si="11"/>
        <v>221002</v>
      </c>
      <c r="B182" s="5" t="str">
        <f>"2022110630"</f>
        <v>2022110630</v>
      </c>
      <c r="C182" s="5" t="str">
        <f t="shared" si="10"/>
        <v>06</v>
      </c>
      <c r="D182" s="5" t="str">
        <f>"30"</f>
        <v>30</v>
      </c>
      <c r="E182" s="6">
        <v>114</v>
      </c>
      <c r="F182" s="6">
        <v>113.1</v>
      </c>
      <c r="G182" s="6">
        <v>75.7</v>
      </c>
      <c r="H182" s="6" t="s">
        <v>9</v>
      </c>
    </row>
    <row r="183" ht="20.1" customHeight="1" spans="1:8">
      <c r="A183" s="5" t="str">
        <f t="shared" si="11"/>
        <v>221002</v>
      </c>
      <c r="B183" s="5" t="str">
        <f>"2022110701"</f>
        <v>2022110701</v>
      </c>
      <c r="C183" s="5" t="str">
        <f t="shared" ref="C183:C212" si="12">"07"</f>
        <v>07</v>
      </c>
      <c r="D183" s="5" t="str">
        <f>"01"</f>
        <v>01</v>
      </c>
      <c r="E183" s="6">
        <v>85.5</v>
      </c>
      <c r="F183" s="6">
        <v>101.7</v>
      </c>
      <c r="G183" s="6">
        <v>62.4</v>
      </c>
      <c r="H183" s="6" t="s">
        <v>9</v>
      </c>
    </row>
    <row r="184" ht="20.1" customHeight="1" spans="1:8">
      <c r="A184" s="5" t="str">
        <f t="shared" si="11"/>
        <v>221002</v>
      </c>
      <c r="B184" s="5" t="str">
        <f>"2022110702"</f>
        <v>2022110702</v>
      </c>
      <c r="C184" s="5" t="str">
        <f t="shared" si="12"/>
        <v>07</v>
      </c>
      <c r="D184" s="5" t="str">
        <f>"02"</f>
        <v>02</v>
      </c>
      <c r="E184" s="6">
        <v>126</v>
      </c>
      <c r="F184" s="6">
        <v>111.5</v>
      </c>
      <c r="G184" s="6">
        <v>79.1666666666667</v>
      </c>
      <c r="H184" s="6" t="s">
        <v>9</v>
      </c>
    </row>
    <row r="185" ht="20.1" customHeight="1" spans="1:8">
      <c r="A185" s="5" t="str">
        <f t="shared" si="11"/>
        <v>221002</v>
      </c>
      <c r="B185" s="5" t="str">
        <f>"2022110703"</f>
        <v>2022110703</v>
      </c>
      <c r="C185" s="5" t="str">
        <f t="shared" si="12"/>
        <v>07</v>
      </c>
      <c r="D185" s="5" t="str">
        <f>"03"</f>
        <v>03</v>
      </c>
      <c r="E185" s="6">
        <v>111</v>
      </c>
      <c r="F185" s="6">
        <v>112.8</v>
      </c>
      <c r="G185" s="6">
        <v>74.6</v>
      </c>
      <c r="H185" s="6" t="s">
        <v>9</v>
      </c>
    </row>
    <row r="186" ht="20.1" customHeight="1" spans="1:8">
      <c r="A186" s="5" t="str">
        <f t="shared" si="11"/>
        <v>221002</v>
      </c>
      <c r="B186" s="5" t="str">
        <f>"2022110704"</f>
        <v>2022110704</v>
      </c>
      <c r="C186" s="5" t="str">
        <f t="shared" si="12"/>
        <v>07</v>
      </c>
      <c r="D186" s="5" t="str">
        <f>"04"</f>
        <v>04</v>
      </c>
      <c r="E186" s="6">
        <v>93</v>
      </c>
      <c r="F186" s="6">
        <v>96.8</v>
      </c>
      <c r="G186" s="6">
        <v>63.2666666666667</v>
      </c>
      <c r="H186" s="6" t="s">
        <v>9</v>
      </c>
    </row>
    <row r="187" ht="20.1" customHeight="1" spans="1:8">
      <c r="A187" s="5" t="str">
        <f t="shared" si="11"/>
        <v>221002</v>
      </c>
      <c r="B187" s="5" t="str">
        <f>"2022110705"</f>
        <v>2022110705</v>
      </c>
      <c r="C187" s="5" t="str">
        <f t="shared" si="12"/>
        <v>07</v>
      </c>
      <c r="D187" s="5" t="str">
        <f>"05"</f>
        <v>05</v>
      </c>
      <c r="E187" s="6">
        <v>0</v>
      </c>
      <c r="F187" s="6">
        <v>0</v>
      </c>
      <c r="G187" s="6">
        <v>0</v>
      </c>
      <c r="H187" s="6" t="s">
        <v>10</v>
      </c>
    </row>
    <row r="188" ht="20.1" customHeight="1" spans="1:8">
      <c r="A188" s="5" t="str">
        <f t="shared" si="11"/>
        <v>221002</v>
      </c>
      <c r="B188" s="5" t="str">
        <f>"2022110706"</f>
        <v>2022110706</v>
      </c>
      <c r="C188" s="5" t="str">
        <f t="shared" si="12"/>
        <v>07</v>
      </c>
      <c r="D188" s="5" t="str">
        <f>"06"</f>
        <v>06</v>
      </c>
      <c r="E188" s="6">
        <v>121.5</v>
      </c>
      <c r="F188" s="6">
        <v>114.1</v>
      </c>
      <c r="G188" s="6">
        <v>78.5333333333333</v>
      </c>
      <c r="H188" s="6" t="s">
        <v>9</v>
      </c>
    </row>
    <row r="189" ht="20.1" customHeight="1" spans="1:8">
      <c r="A189" s="5" t="str">
        <f t="shared" si="11"/>
        <v>221002</v>
      </c>
      <c r="B189" s="5" t="str">
        <f>"2022110707"</f>
        <v>2022110707</v>
      </c>
      <c r="C189" s="5" t="str">
        <f t="shared" si="12"/>
        <v>07</v>
      </c>
      <c r="D189" s="5" t="str">
        <f>"07"</f>
        <v>07</v>
      </c>
      <c r="E189" s="6">
        <v>117</v>
      </c>
      <c r="F189" s="6">
        <v>116.8</v>
      </c>
      <c r="G189" s="6">
        <v>77.9333333333333</v>
      </c>
      <c r="H189" s="6" t="s">
        <v>9</v>
      </c>
    </row>
    <row r="190" ht="20.1" customHeight="1" spans="1:8">
      <c r="A190" s="5" t="str">
        <f t="shared" ref="A190:A221" si="13">"221002"</f>
        <v>221002</v>
      </c>
      <c r="B190" s="5" t="str">
        <f>"2022110708"</f>
        <v>2022110708</v>
      </c>
      <c r="C190" s="5" t="str">
        <f t="shared" si="12"/>
        <v>07</v>
      </c>
      <c r="D190" s="5" t="str">
        <f>"08"</f>
        <v>08</v>
      </c>
      <c r="E190" s="6">
        <v>0</v>
      </c>
      <c r="F190" s="6">
        <v>0</v>
      </c>
      <c r="G190" s="6">
        <v>0</v>
      </c>
      <c r="H190" s="6" t="s">
        <v>10</v>
      </c>
    </row>
    <row r="191" ht="20.1" customHeight="1" spans="1:8">
      <c r="A191" s="5" t="str">
        <f t="shared" si="13"/>
        <v>221002</v>
      </c>
      <c r="B191" s="5" t="str">
        <f>"2022110709"</f>
        <v>2022110709</v>
      </c>
      <c r="C191" s="5" t="str">
        <f t="shared" si="12"/>
        <v>07</v>
      </c>
      <c r="D191" s="5" t="str">
        <f>"09"</f>
        <v>09</v>
      </c>
      <c r="E191" s="6">
        <v>94.5</v>
      </c>
      <c r="F191" s="6">
        <v>92.9</v>
      </c>
      <c r="G191" s="6">
        <v>62.4666666666667</v>
      </c>
      <c r="H191" s="6" t="s">
        <v>9</v>
      </c>
    </row>
    <row r="192" ht="20.1" customHeight="1" spans="1:8">
      <c r="A192" s="5" t="str">
        <f t="shared" si="13"/>
        <v>221002</v>
      </c>
      <c r="B192" s="5" t="str">
        <f>"2022110710"</f>
        <v>2022110710</v>
      </c>
      <c r="C192" s="5" t="str">
        <f t="shared" si="12"/>
        <v>07</v>
      </c>
      <c r="D192" s="5" t="str">
        <f>"10"</f>
        <v>10</v>
      </c>
      <c r="E192" s="6">
        <v>108</v>
      </c>
      <c r="F192" s="6">
        <v>95.1</v>
      </c>
      <c r="G192" s="6">
        <v>67.7</v>
      </c>
      <c r="H192" s="6" t="s">
        <v>9</v>
      </c>
    </row>
    <row r="193" ht="20.1" customHeight="1" spans="1:8">
      <c r="A193" s="5" t="str">
        <f t="shared" si="13"/>
        <v>221002</v>
      </c>
      <c r="B193" s="5" t="str">
        <f>"2022110711"</f>
        <v>2022110711</v>
      </c>
      <c r="C193" s="5" t="str">
        <f t="shared" si="12"/>
        <v>07</v>
      </c>
      <c r="D193" s="5" t="str">
        <f>"11"</f>
        <v>11</v>
      </c>
      <c r="E193" s="6">
        <v>0</v>
      </c>
      <c r="F193" s="6">
        <v>0</v>
      </c>
      <c r="G193" s="6">
        <v>0</v>
      </c>
      <c r="H193" s="6" t="s">
        <v>10</v>
      </c>
    </row>
    <row r="194" ht="20.1" customHeight="1" spans="1:8">
      <c r="A194" s="5" t="str">
        <f t="shared" si="13"/>
        <v>221002</v>
      </c>
      <c r="B194" s="5" t="str">
        <f>"2022110712"</f>
        <v>2022110712</v>
      </c>
      <c r="C194" s="5" t="str">
        <f t="shared" si="12"/>
        <v>07</v>
      </c>
      <c r="D194" s="5" t="str">
        <f>"12"</f>
        <v>12</v>
      </c>
      <c r="E194" s="6">
        <v>127.5</v>
      </c>
      <c r="F194" s="6">
        <v>109.7</v>
      </c>
      <c r="G194" s="6">
        <v>79.0666666666667</v>
      </c>
      <c r="H194" s="6" t="s">
        <v>9</v>
      </c>
    </row>
    <row r="195" ht="20.1" customHeight="1" spans="1:8">
      <c r="A195" s="5" t="str">
        <f t="shared" si="13"/>
        <v>221002</v>
      </c>
      <c r="B195" s="5" t="str">
        <f>"2022110713"</f>
        <v>2022110713</v>
      </c>
      <c r="C195" s="5" t="str">
        <f t="shared" si="12"/>
        <v>07</v>
      </c>
      <c r="D195" s="5" t="str">
        <f>"13"</f>
        <v>13</v>
      </c>
      <c r="E195" s="6">
        <v>88.5</v>
      </c>
      <c r="F195" s="6">
        <v>112.8</v>
      </c>
      <c r="G195" s="6">
        <v>67.1</v>
      </c>
      <c r="H195" s="6" t="s">
        <v>9</v>
      </c>
    </row>
    <row r="196" ht="20.1" customHeight="1" spans="1:8">
      <c r="A196" s="5" t="str">
        <f t="shared" si="13"/>
        <v>221002</v>
      </c>
      <c r="B196" s="5" t="str">
        <f>"2022110714"</f>
        <v>2022110714</v>
      </c>
      <c r="C196" s="5" t="str">
        <f t="shared" si="12"/>
        <v>07</v>
      </c>
      <c r="D196" s="5" t="str">
        <f>"14"</f>
        <v>14</v>
      </c>
      <c r="E196" s="6">
        <v>0</v>
      </c>
      <c r="F196" s="6">
        <v>0</v>
      </c>
      <c r="G196" s="6">
        <v>0</v>
      </c>
      <c r="H196" s="6" t="s">
        <v>10</v>
      </c>
    </row>
    <row r="197" ht="20.1" customHeight="1" spans="1:8">
      <c r="A197" s="5" t="str">
        <f t="shared" si="13"/>
        <v>221002</v>
      </c>
      <c r="B197" s="5" t="str">
        <f>"2022110715"</f>
        <v>2022110715</v>
      </c>
      <c r="C197" s="5" t="str">
        <f t="shared" si="12"/>
        <v>07</v>
      </c>
      <c r="D197" s="5" t="str">
        <f>"15"</f>
        <v>15</v>
      </c>
      <c r="E197" s="6">
        <v>132</v>
      </c>
      <c r="F197" s="6">
        <v>113</v>
      </c>
      <c r="G197" s="6">
        <v>81.6666666666667</v>
      </c>
      <c r="H197" s="7" t="s">
        <v>11</v>
      </c>
    </row>
    <row r="198" ht="20.1" customHeight="1" spans="1:8">
      <c r="A198" s="5" t="str">
        <f t="shared" si="13"/>
        <v>221002</v>
      </c>
      <c r="B198" s="5" t="str">
        <f>"2022110716"</f>
        <v>2022110716</v>
      </c>
      <c r="C198" s="5" t="str">
        <f t="shared" si="12"/>
        <v>07</v>
      </c>
      <c r="D198" s="5" t="str">
        <f>"16"</f>
        <v>16</v>
      </c>
      <c r="E198" s="6">
        <v>103.5</v>
      </c>
      <c r="F198" s="6">
        <v>104.2</v>
      </c>
      <c r="G198" s="6">
        <v>69.2333333333333</v>
      </c>
      <c r="H198" s="6" t="s">
        <v>9</v>
      </c>
    </row>
    <row r="199" ht="20.1" customHeight="1" spans="1:8">
      <c r="A199" s="5" t="str">
        <f t="shared" si="13"/>
        <v>221002</v>
      </c>
      <c r="B199" s="5" t="str">
        <f>"2022110717"</f>
        <v>2022110717</v>
      </c>
      <c r="C199" s="5" t="str">
        <f t="shared" si="12"/>
        <v>07</v>
      </c>
      <c r="D199" s="5" t="str">
        <f>"17"</f>
        <v>17</v>
      </c>
      <c r="E199" s="6">
        <v>117</v>
      </c>
      <c r="F199" s="6">
        <v>107</v>
      </c>
      <c r="G199" s="6">
        <v>74.6666666666667</v>
      </c>
      <c r="H199" s="6" t="s">
        <v>9</v>
      </c>
    </row>
    <row r="200" ht="20.1" customHeight="1" spans="1:8">
      <c r="A200" s="5" t="str">
        <f t="shared" si="13"/>
        <v>221002</v>
      </c>
      <c r="B200" s="5" t="str">
        <f>"2022110718"</f>
        <v>2022110718</v>
      </c>
      <c r="C200" s="5" t="str">
        <f t="shared" si="12"/>
        <v>07</v>
      </c>
      <c r="D200" s="5" t="str">
        <f>"18"</f>
        <v>18</v>
      </c>
      <c r="E200" s="6">
        <v>0</v>
      </c>
      <c r="F200" s="6">
        <v>0</v>
      </c>
      <c r="G200" s="6">
        <v>0</v>
      </c>
      <c r="H200" s="6" t="s">
        <v>10</v>
      </c>
    </row>
    <row r="201" ht="20.1" customHeight="1" spans="1:8">
      <c r="A201" s="5" t="str">
        <f t="shared" si="13"/>
        <v>221002</v>
      </c>
      <c r="B201" s="5" t="str">
        <f>"2022110719"</f>
        <v>2022110719</v>
      </c>
      <c r="C201" s="5" t="str">
        <f t="shared" si="12"/>
        <v>07</v>
      </c>
      <c r="D201" s="5" t="str">
        <f>"19"</f>
        <v>19</v>
      </c>
      <c r="E201" s="6">
        <v>115.5</v>
      </c>
      <c r="F201" s="6">
        <v>114.3</v>
      </c>
      <c r="G201" s="6">
        <v>76.6</v>
      </c>
      <c r="H201" s="6" t="s">
        <v>9</v>
      </c>
    </row>
    <row r="202" ht="20.1" customHeight="1" spans="1:8">
      <c r="A202" s="5" t="str">
        <f t="shared" si="13"/>
        <v>221002</v>
      </c>
      <c r="B202" s="5" t="str">
        <f>"2022110720"</f>
        <v>2022110720</v>
      </c>
      <c r="C202" s="5" t="str">
        <f t="shared" si="12"/>
        <v>07</v>
      </c>
      <c r="D202" s="5" t="str">
        <f>"20"</f>
        <v>20</v>
      </c>
      <c r="E202" s="6">
        <v>105</v>
      </c>
      <c r="F202" s="6">
        <v>114.5</v>
      </c>
      <c r="G202" s="6">
        <v>73.1666666666667</v>
      </c>
      <c r="H202" s="6" t="s">
        <v>9</v>
      </c>
    </row>
    <row r="203" ht="20.1" customHeight="1" spans="1:8">
      <c r="A203" s="5" t="str">
        <f t="shared" si="13"/>
        <v>221002</v>
      </c>
      <c r="B203" s="5" t="str">
        <f>"2022110721"</f>
        <v>2022110721</v>
      </c>
      <c r="C203" s="5" t="str">
        <f t="shared" si="12"/>
        <v>07</v>
      </c>
      <c r="D203" s="5" t="str">
        <f>"21"</f>
        <v>21</v>
      </c>
      <c r="E203" s="6">
        <v>118.5</v>
      </c>
      <c r="F203" s="6">
        <v>110.2</v>
      </c>
      <c r="G203" s="6">
        <v>76.2333333333333</v>
      </c>
      <c r="H203" s="6" t="s">
        <v>9</v>
      </c>
    </row>
    <row r="204" ht="20.1" customHeight="1" spans="1:8">
      <c r="A204" s="5" t="str">
        <f t="shared" si="13"/>
        <v>221002</v>
      </c>
      <c r="B204" s="5" t="str">
        <f>"2022110722"</f>
        <v>2022110722</v>
      </c>
      <c r="C204" s="5" t="str">
        <f t="shared" si="12"/>
        <v>07</v>
      </c>
      <c r="D204" s="5" t="str">
        <f>"22"</f>
        <v>22</v>
      </c>
      <c r="E204" s="6">
        <v>121.5</v>
      </c>
      <c r="F204" s="6">
        <v>118.3</v>
      </c>
      <c r="G204" s="6">
        <v>79.9333333333333</v>
      </c>
      <c r="H204" s="6" t="s">
        <v>9</v>
      </c>
    </row>
    <row r="205" ht="20.1" customHeight="1" spans="1:8">
      <c r="A205" s="5" t="str">
        <f t="shared" si="13"/>
        <v>221002</v>
      </c>
      <c r="B205" s="5" t="str">
        <f>"2022110723"</f>
        <v>2022110723</v>
      </c>
      <c r="C205" s="5" t="str">
        <f t="shared" si="12"/>
        <v>07</v>
      </c>
      <c r="D205" s="5" t="str">
        <f>"23"</f>
        <v>23</v>
      </c>
      <c r="E205" s="6">
        <v>108</v>
      </c>
      <c r="F205" s="6">
        <v>100.6</v>
      </c>
      <c r="G205" s="6">
        <v>69.5333333333333</v>
      </c>
      <c r="H205" s="6" t="s">
        <v>9</v>
      </c>
    </row>
    <row r="206" ht="20.1" customHeight="1" spans="1:8">
      <c r="A206" s="5" t="str">
        <f t="shared" si="13"/>
        <v>221002</v>
      </c>
      <c r="B206" s="5" t="str">
        <f>"2022110724"</f>
        <v>2022110724</v>
      </c>
      <c r="C206" s="5" t="str">
        <f t="shared" si="12"/>
        <v>07</v>
      </c>
      <c r="D206" s="5" t="str">
        <f>"24"</f>
        <v>24</v>
      </c>
      <c r="E206" s="6">
        <v>132</v>
      </c>
      <c r="F206" s="6">
        <v>106.9</v>
      </c>
      <c r="G206" s="6">
        <v>79.6333333333333</v>
      </c>
      <c r="H206" s="6" t="s">
        <v>9</v>
      </c>
    </row>
    <row r="207" ht="20.1" customHeight="1" spans="1:8">
      <c r="A207" s="5" t="str">
        <f t="shared" si="13"/>
        <v>221002</v>
      </c>
      <c r="B207" s="5" t="str">
        <f>"2022110725"</f>
        <v>2022110725</v>
      </c>
      <c r="C207" s="5" t="str">
        <f t="shared" si="12"/>
        <v>07</v>
      </c>
      <c r="D207" s="5" t="str">
        <f>"25"</f>
        <v>25</v>
      </c>
      <c r="E207" s="6">
        <v>115.5</v>
      </c>
      <c r="F207" s="6">
        <v>119.4</v>
      </c>
      <c r="G207" s="6">
        <v>78.3</v>
      </c>
      <c r="H207" s="6" t="s">
        <v>9</v>
      </c>
    </row>
    <row r="208" ht="20.1" customHeight="1" spans="1:8">
      <c r="A208" s="5" t="str">
        <f t="shared" si="13"/>
        <v>221002</v>
      </c>
      <c r="B208" s="5" t="str">
        <f>"2022110726"</f>
        <v>2022110726</v>
      </c>
      <c r="C208" s="5" t="str">
        <f t="shared" si="12"/>
        <v>07</v>
      </c>
      <c r="D208" s="5" t="str">
        <f>"26"</f>
        <v>26</v>
      </c>
      <c r="E208" s="6">
        <v>99</v>
      </c>
      <c r="F208" s="6">
        <v>101.1</v>
      </c>
      <c r="G208" s="6">
        <v>66.7</v>
      </c>
      <c r="H208" s="6" t="s">
        <v>9</v>
      </c>
    </row>
    <row r="209" ht="20.1" customHeight="1" spans="1:8">
      <c r="A209" s="5" t="str">
        <f t="shared" si="13"/>
        <v>221002</v>
      </c>
      <c r="B209" s="5" t="str">
        <f>"2022110727"</f>
        <v>2022110727</v>
      </c>
      <c r="C209" s="5" t="str">
        <f t="shared" si="12"/>
        <v>07</v>
      </c>
      <c r="D209" s="5" t="str">
        <f>"27"</f>
        <v>27</v>
      </c>
      <c r="E209" s="6">
        <v>118.5</v>
      </c>
      <c r="F209" s="6">
        <v>95.1</v>
      </c>
      <c r="G209" s="6">
        <v>71.2</v>
      </c>
      <c r="H209" s="6" t="s">
        <v>9</v>
      </c>
    </row>
    <row r="210" ht="20.1" customHeight="1" spans="1:8">
      <c r="A210" s="5" t="str">
        <f t="shared" si="13"/>
        <v>221002</v>
      </c>
      <c r="B210" s="5" t="str">
        <f>"2022110728"</f>
        <v>2022110728</v>
      </c>
      <c r="C210" s="5" t="str">
        <f t="shared" si="12"/>
        <v>07</v>
      </c>
      <c r="D210" s="5" t="str">
        <f>"28"</f>
        <v>28</v>
      </c>
      <c r="E210" s="6">
        <v>112.5</v>
      </c>
      <c r="F210" s="6">
        <v>82.6</v>
      </c>
      <c r="G210" s="6">
        <v>65.0333333333333</v>
      </c>
      <c r="H210" s="6" t="s">
        <v>9</v>
      </c>
    </row>
    <row r="211" ht="20.1" customHeight="1" spans="1:8">
      <c r="A211" s="5" t="str">
        <f t="shared" si="13"/>
        <v>221002</v>
      </c>
      <c r="B211" s="5" t="str">
        <f>"2022110729"</f>
        <v>2022110729</v>
      </c>
      <c r="C211" s="5" t="str">
        <f t="shared" si="12"/>
        <v>07</v>
      </c>
      <c r="D211" s="5" t="str">
        <f>"29"</f>
        <v>29</v>
      </c>
      <c r="E211" s="6">
        <v>103.5</v>
      </c>
      <c r="F211" s="6">
        <v>107.1</v>
      </c>
      <c r="G211" s="6">
        <v>70.2</v>
      </c>
      <c r="H211" s="6" t="s">
        <v>9</v>
      </c>
    </row>
    <row r="212" ht="20.1" customHeight="1" spans="1:8">
      <c r="A212" s="5" t="str">
        <f t="shared" si="13"/>
        <v>221002</v>
      </c>
      <c r="B212" s="5" t="str">
        <f>"2022110730"</f>
        <v>2022110730</v>
      </c>
      <c r="C212" s="5" t="str">
        <f t="shared" si="12"/>
        <v>07</v>
      </c>
      <c r="D212" s="5" t="str">
        <f>"30"</f>
        <v>30</v>
      </c>
      <c r="E212" s="6">
        <v>0</v>
      </c>
      <c r="F212" s="6">
        <v>0</v>
      </c>
      <c r="G212" s="6">
        <v>0</v>
      </c>
      <c r="H212" s="6" t="s">
        <v>10</v>
      </c>
    </row>
    <row r="213" ht="20.1" customHeight="1" spans="1:8">
      <c r="A213" s="5" t="str">
        <f t="shared" si="13"/>
        <v>221002</v>
      </c>
      <c r="B213" s="5" t="str">
        <f>"2022110801"</f>
        <v>2022110801</v>
      </c>
      <c r="C213" s="5" t="str">
        <f t="shared" ref="C213:C242" si="14">"08"</f>
        <v>08</v>
      </c>
      <c r="D213" s="5" t="str">
        <f>"01"</f>
        <v>01</v>
      </c>
      <c r="E213" s="6">
        <v>0</v>
      </c>
      <c r="F213" s="6">
        <v>0</v>
      </c>
      <c r="G213" s="6">
        <v>0</v>
      </c>
      <c r="H213" s="6" t="s">
        <v>10</v>
      </c>
    </row>
    <row r="214" ht="20.1" customHeight="1" spans="1:8">
      <c r="A214" s="5" t="str">
        <f t="shared" si="13"/>
        <v>221002</v>
      </c>
      <c r="B214" s="5" t="str">
        <f>"2022110802"</f>
        <v>2022110802</v>
      </c>
      <c r="C214" s="5" t="str">
        <f t="shared" si="14"/>
        <v>08</v>
      </c>
      <c r="D214" s="5" t="str">
        <f>"02"</f>
        <v>02</v>
      </c>
      <c r="E214" s="6">
        <v>115.5</v>
      </c>
      <c r="F214" s="6">
        <v>97.6</v>
      </c>
      <c r="G214" s="6">
        <v>71.0333333333333</v>
      </c>
      <c r="H214" s="6" t="s">
        <v>9</v>
      </c>
    </row>
    <row r="215" ht="20.1" customHeight="1" spans="1:8">
      <c r="A215" s="5" t="str">
        <f t="shared" si="13"/>
        <v>221002</v>
      </c>
      <c r="B215" s="5" t="str">
        <f>"2022110803"</f>
        <v>2022110803</v>
      </c>
      <c r="C215" s="5" t="str">
        <f t="shared" si="14"/>
        <v>08</v>
      </c>
      <c r="D215" s="5" t="str">
        <f>"03"</f>
        <v>03</v>
      </c>
      <c r="E215" s="6">
        <v>116</v>
      </c>
      <c r="F215" s="6">
        <v>114.9</v>
      </c>
      <c r="G215" s="6">
        <v>76.9666666666667</v>
      </c>
      <c r="H215" s="8" t="s">
        <v>12</v>
      </c>
    </row>
    <row r="216" ht="20.1" customHeight="1" spans="1:8">
      <c r="A216" s="5" t="str">
        <f t="shared" si="13"/>
        <v>221002</v>
      </c>
      <c r="B216" s="5" t="str">
        <f>"2022110804"</f>
        <v>2022110804</v>
      </c>
      <c r="C216" s="5" t="str">
        <f t="shared" si="14"/>
        <v>08</v>
      </c>
      <c r="D216" s="5" t="str">
        <f>"04"</f>
        <v>04</v>
      </c>
      <c r="E216" s="6">
        <v>97.5</v>
      </c>
      <c r="F216" s="6">
        <v>112.8</v>
      </c>
      <c r="G216" s="6">
        <v>70.1</v>
      </c>
      <c r="H216" s="6" t="s">
        <v>9</v>
      </c>
    </row>
    <row r="217" ht="20.1" customHeight="1" spans="1:8">
      <c r="A217" s="5" t="str">
        <f t="shared" si="13"/>
        <v>221002</v>
      </c>
      <c r="B217" s="5" t="str">
        <f>"2022110805"</f>
        <v>2022110805</v>
      </c>
      <c r="C217" s="5" t="str">
        <f t="shared" si="14"/>
        <v>08</v>
      </c>
      <c r="D217" s="5" t="str">
        <f>"05"</f>
        <v>05</v>
      </c>
      <c r="E217" s="6">
        <v>90</v>
      </c>
      <c r="F217" s="6">
        <v>114.7</v>
      </c>
      <c r="G217" s="6">
        <v>68.2333333333333</v>
      </c>
      <c r="H217" s="6" t="s">
        <v>9</v>
      </c>
    </row>
    <row r="218" ht="20.1" customHeight="1" spans="1:8">
      <c r="A218" s="5" t="str">
        <f t="shared" si="13"/>
        <v>221002</v>
      </c>
      <c r="B218" s="5" t="str">
        <f>"2022110806"</f>
        <v>2022110806</v>
      </c>
      <c r="C218" s="5" t="str">
        <f t="shared" si="14"/>
        <v>08</v>
      </c>
      <c r="D218" s="5" t="str">
        <f>"06"</f>
        <v>06</v>
      </c>
      <c r="E218" s="6">
        <v>0</v>
      </c>
      <c r="F218" s="6">
        <v>0</v>
      </c>
      <c r="G218" s="6">
        <v>0</v>
      </c>
      <c r="H218" s="6" t="s">
        <v>10</v>
      </c>
    </row>
    <row r="219" ht="20.1" customHeight="1" spans="1:8">
      <c r="A219" s="5" t="str">
        <f t="shared" si="13"/>
        <v>221002</v>
      </c>
      <c r="B219" s="5" t="str">
        <f>"2022110807"</f>
        <v>2022110807</v>
      </c>
      <c r="C219" s="5" t="str">
        <f t="shared" si="14"/>
        <v>08</v>
      </c>
      <c r="D219" s="5" t="str">
        <f>"07"</f>
        <v>07</v>
      </c>
      <c r="E219" s="6">
        <v>0</v>
      </c>
      <c r="F219" s="6">
        <v>0</v>
      </c>
      <c r="G219" s="6">
        <v>0</v>
      </c>
      <c r="H219" s="6" t="s">
        <v>10</v>
      </c>
    </row>
    <row r="220" ht="20.1" customHeight="1" spans="1:8">
      <c r="A220" s="5" t="str">
        <f t="shared" si="13"/>
        <v>221002</v>
      </c>
      <c r="B220" s="5" t="str">
        <f>"2022110808"</f>
        <v>2022110808</v>
      </c>
      <c r="C220" s="5" t="str">
        <f t="shared" si="14"/>
        <v>08</v>
      </c>
      <c r="D220" s="5" t="str">
        <f>"08"</f>
        <v>08</v>
      </c>
      <c r="E220" s="6">
        <v>108</v>
      </c>
      <c r="F220" s="6">
        <v>113</v>
      </c>
      <c r="G220" s="6">
        <v>73.6666666666667</v>
      </c>
      <c r="H220" s="6" t="s">
        <v>9</v>
      </c>
    </row>
    <row r="221" ht="20.1" customHeight="1" spans="1:8">
      <c r="A221" s="5" t="str">
        <f t="shared" si="13"/>
        <v>221002</v>
      </c>
      <c r="B221" s="5" t="str">
        <f>"2022110809"</f>
        <v>2022110809</v>
      </c>
      <c r="C221" s="5" t="str">
        <f t="shared" si="14"/>
        <v>08</v>
      </c>
      <c r="D221" s="5" t="str">
        <f>"09"</f>
        <v>09</v>
      </c>
      <c r="E221" s="6">
        <v>121.5</v>
      </c>
      <c r="F221" s="6">
        <v>96.4</v>
      </c>
      <c r="G221" s="6">
        <v>72.6333333333333</v>
      </c>
      <c r="H221" s="6" t="s">
        <v>9</v>
      </c>
    </row>
    <row r="222" ht="20.1" customHeight="1" spans="1:8">
      <c r="A222" s="5" t="str">
        <f t="shared" ref="A222:A249" si="15">"221002"</f>
        <v>221002</v>
      </c>
      <c r="B222" s="5" t="str">
        <f>"2022110810"</f>
        <v>2022110810</v>
      </c>
      <c r="C222" s="5" t="str">
        <f t="shared" si="14"/>
        <v>08</v>
      </c>
      <c r="D222" s="5" t="str">
        <f>"10"</f>
        <v>10</v>
      </c>
      <c r="E222" s="6">
        <v>108</v>
      </c>
      <c r="F222" s="6">
        <v>103.8</v>
      </c>
      <c r="G222" s="6">
        <v>70.6</v>
      </c>
      <c r="H222" s="6" t="s">
        <v>9</v>
      </c>
    </row>
    <row r="223" ht="20.1" customHeight="1" spans="1:8">
      <c r="A223" s="5" t="str">
        <f t="shared" si="15"/>
        <v>221002</v>
      </c>
      <c r="B223" s="5" t="str">
        <f>"2022110811"</f>
        <v>2022110811</v>
      </c>
      <c r="C223" s="5" t="str">
        <f t="shared" si="14"/>
        <v>08</v>
      </c>
      <c r="D223" s="5" t="str">
        <f>"11"</f>
        <v>11</v>
      </c>
      <c r="E223" s="6">
        <v>84</v>
      </c>
      <c r="F223" s="6">
        <v>94.7</v>
      </c>
      <c r="G223" s="6">
        <v>59.5666666666667</v>
      </c>
      <c r="H223" s="6" t="s">
        <v>9</v>
      </c>
    </row>
    <row r="224" ht="20.1" customHeight="1" spans="1:8">
      <c r="A224" s="5" t="str">
        <f t="shared" si="15"/>
        <v>221002</v>
      </c>
      <c r="B224" s="5" t="str">
        <f>"2022110812"</f>
        <v>2022110812</v>
      </c>
      <c r="C224" s="5" t="str">
        <f t="shared" si="14"/>
        <v>08</v>
      </c>
      <c r="D224" s="5" t="str">
        <f>"12"</f>
        <v>12</v>
      </c>
      <c r="E224" s="6">
        <v>0</v>
      </c>
      <c r="F224" s="6">
        <v>0</v>
      </c>
      <c r="G224" s="6">
        <v>0</v>
      </c>
      <c r="H224" s="6" t="s">
        <v>10</v>
      </c>
    </row>
    <row r="225" ht="20.1" customHeight="1" spans="1:8">
      <c r="A225" s="5" t="str">
        <f t="shared" si="15"/>
        <v>221002</v>
      </c>
      <c r="B225" s="5" t="str">
        <f>"2022110813"</f>
        <v>2022110813</v>
      </c>
      <c r="C225" s="5" t="str">
        <f t="shared" si="14"/>
        <v>08</v>
      </c>
      <c r="D225" s="5" t="str">
        <f>"13"</f>
        <v>13</v>
      </c>
      <c r="E225" s="6">
        <v>123</v>
      </c>
      <c r="F225" s="6">
        <v>117</v>
      </c>
      <c r="G225" s="6">
        <v>80</v>
      </c>
      <c r="H225" s="6" t="s">
        <v>9</v>
      </c>
    </row>
    <row r="226" ht="20.1" customHeight="1" spans="1:8">
      <c r="A226" s="5" t="str">
        <f t="shared" si="15"/>
        <v>221002</v>
      </c>
      <c r="B226" s="5" t="str">
        <f>"2022110814"</f>
        <v>2022110814</v>
      </c>
      <c r="C226" s="5" t="str">
        <f t="shared" si="14"/>
        <v>08</v>
      </c>
      <c r="D226" s="5" t="str">
        <f>"14"</f>
        <v>14</v>
      </c>
      <c r="E226" s="6">
        <v>111</v>
      </c>
      <c r="F226" s="6">
        <v>90.9</v>
      </c>
      <c r="G226" s="6">
        <v>67.3</v>
      </c>
      <c r="H226" s="6" t="s">
        <v>9</v>
      </c>
    </row>
    <row r="227" ht="20.1" customHeight="1" spans="1:8">
      <c r="A227" s="5" t="str">
        <f t="shared" si="15"/>
        <v>221002</v>
      </c>
      <c r="B227" s="5" t="str">
        <f>"2022110815"</f>
        <v>2022110815</v>
      </c>
      <c r="C227" s="5" t="str">
        <f t="shared" si="14"/>
        <v>08</v>
      </c>
      <c r="D227" s="5" t="str">
        <f>"15"</f>
        <v>15</v>
      </c>
      <c r="E227" s="6">
        <v>82.5</v>
      </c>
      <c r="F227" s="6">
        <v>86.4</v>
      </c>
      <c r="G227" s="6">
        <v>56.3</v>
      </c>
      <c r="H227" s="6" t="s">
        <v>9</v>
      </c>
    </row>
    <row r="228" ht="20.1" customHeight="1" spans="1:8">
      <c r="A228" s="5" t="str">
        <f t="shared" si="15"/>
        <v>221002</v>
      </c>
      <c r="B228" s="5" t="str">
        <f>"2022110816"</f>
        <v>2022110816</v>
      </c>
      <c r="C228" s="5" t="str">
        <f t="shared" si="14"/>
        <v>08</v>
      </c>
      <c r="D228" s="5" t="str">
        <f>"16"</f>
        <v>16</v>
      </c>
      <c r="E228" s="6">
        <v>97.5</v>
      </c>
      <c r="F228" s="6">
        <v>98</v>
      </c>
      <c r="G228" s="6">
        <v>65.1666666666667</v>
      </c>
      <c r="H228" s="6" t="s">
        <v>9</v>
      </c>
    </row>
    <row r="229" ht="20.1" customHeight="1" spans="1:8">
      <c r="A229" s="5" t="str">
        <f t="shared" si="15"/>
        <v>221002</v>
      </c>
      <c r="B229" s="5" t="str">
        <f>"2022110817"</f>
        <v>2022110817</v>
      </c>
      <c r="C229" s="5" t="str">
        <f t="shared" si="14"/>
        <v>08</v>
      </c>
      <c r="D229" s="5" t="str">
        <f>"17"</f>
        <v>17</v>
      </c>
      <c r="E229" s="6">
        <v>0</v>
      </c>
      <c r="F229" s="6">
        <v>0</v>
      </c>
      <c r="G229" s="6">
        <v>0</v>
      </c>
      <c r="H229" s="6" t="s">
        <v>10</v>
      </c>
    </row>
    <row r="230" ht="20.1" customHeight="1" spans="1:8">
      <c r="A230" s="5" t="str">
        <f t="shared" si="15"/>
        <v>221002</v>
      </c>
      <c r="B230" s="5" t="str">
        <f>"2022110818"</f>
        <v>2022110818</v>
      </c>
      <c r="C230" s="5" t="str">
        <f t="shared" si="14"/>
        <v>08</v>
      </c>
      <c r="D230" s="5" t="str">
        <f>"18"</f>
        <v>18</v>
      </c>
      <c r="E230" s="6">
        <v>0</v>
      </c>
      <c r="F230" s="6">
        <v>0</v>
      </c>
      <c r="G230" s="6">
        <v>0</v>
      </c>
      <c r="H230" s="6" t="s">
        <v>10</v>
      </c>
    </row>
    <row r="231" ht="20.1" customHeight="1" spans="1:8">
      <c r="A231" s="5" t="str">
        <f t="shared" si="15"/>
        <v>221002</v>
      </c>
      <c r="B231" s="5" t="str">
        <f>"2022110819"</f>
        <v>2022110819</v>
      </c>
      <c r="C231" s="5" t="str">
        <f t="shared" si="14"/>
        <v>08</v>
      </c>
      <c r="D231" s="5" t="str">
        <f>"19"</f>
        <v>19</v>
      </c>
      <c r="E231" s="6">
        <v>0</v>
      </c>
      <c r="F231" s="6">
        <v>0</v>
      </c>
      <c r="G231" s="6">
        <v>0</v>
      </c>
      <c r="H231" s="6" t="s">
        <v>10</v>
      </c>
    </row>
    <row r="232" ht="20.1" customHeight="1" spans="1:8">
      <c r="A232" s="5" t="str">
        <f t="shared" si="15"/>
        <v>221002</v>
      </c>
      <c r="B232" s="5" t="str">
        <f>"2022110820"</f>
        <v>2022110820</v>
      </c>
      <c r="C232" s="5" t="str">
        <f t="shared" si="14"/>
        <v>08</v>
      </c>
      <c r="D232" s="5" t="str">
        <f>"20"</f>
        <v>20</v>
      </c>
      <c r="E232" s="6">
        <v>0</v>
      </c>
      <c r="F232" s="6">
        <v>0</v>
      </c>
      <c r="G232" s="6">
        <v>0</v>
      </c>
      <c r="H232" s="6" t="s">
        <v>10</v>
      </c>
    </row>
    <row r="233" ht="20.1" customHeight="1" spans="1:8">
      <c r="A233" s="5" t="str">
        <f t="shared" si="15"/>
        <v>221002</v>
      </c>
      <c r="B233" s="5" t="str">
        <f>"2022110821"</f>
        <v>2022110821</v>
      </c>
      <c r="C233" s="5" t="str">
        <f t="shared" si="14"/>
        <v>08</v>
      </c>
      <c r="D233" s="5" t="str">
        <f>"21"</f>
        <v>21</v>
      </c>
      <c r="E233" s="6">
        <v>136.5</v>
      </c>
      <c r="F233" s="6">
        <v>117.7</v>
      </c>
      <c r="G233" s="6">
        <v>84.7333333333333</v>
      </c>
      <c r="H233" s="7" t="s">
        <v>11</v>
      </c>
    </row>
    <row r="234" ht="20.1" customHeight="1" spans="1:8">
      <c r="A234" s="5" t="str">
        <f t="shared" si="15"/>
        <v>221002</v>
      </c>
      <c r="B234" s="5" t="str">
        <f>"2022110822"</f>
        <v>2022110822</v>
      </c>
      <c r="C234" s="5" t="str">
        <f t="shared" si="14"/>
        <v>08</v>
      </c>
      <c r="D234" s="5" t="str">
        <f>"22"</f>
        <v>22</v>
      </c>
      <c r="E234" s="6">
        <v>0</v>
      </c>
      <c r="F234" s="6">
        <v>0</v>
      </c>
      <c r="G234" s="6">
        <v>0</v>
      </c>
      <c r="H234" s="6" t="s">
        <v>10</v>
      </c>
    </row>
    <row r="235" ht="20.1" customHeight="1" spans="1:8">
      <c r="A235" s="5" t="str">
        <f t="shared" si="15"/>
        <v>221002</v>
      </c>
      <c r="B235" s="5" t="str">
        <f>"2022110823"</f>
        <v>2022110823</v>
      </c>
      <c r="C235" s="5" t="str">
        <f t="shared" si="14"/>
        <v>08</v>
      </c>
      <c r="D235" s="5" t="str">
        <f>"23"</f>
        <v>23</v>
      </c>
      <c r="E235" s="6">
        <v>126</v>
      </c>
      <c r="F235" s="6">
        <v>115</v>
      </c>
      <c r="G235" s="6">
        <v>80.3333333333333</v>
      </c>
      <c r="H235" s="6" t="s">
        <v>9</v>
      </c>
    </row>
    <row r="236" ht="20.1" customHeight="1" spans="1:8">
      <c r="A236" s="5" t="str">
        <f t="shared" si="15"/>
        <v>221002</v>
      </c>
      <c r="B236" s="5" t="str">
        <f>"2022110824"</f>
        <v>2022110824</v>
      </c>
      <c r="C236" s="5" t="str">
        <f t="shared" si="14"/>
        <v>08</v>
      </c>
      <c r="D236" s="5" t="str">
        <f>"24"</f>
        <v>24</v>
      </c>
      <c r="E236" s="6">
        <v>0</v>
      </c>
      <c r="F236" s="6">
        <v>0</v>
      </c>
      <c r="G236" s="6">
        <v>0</v>
      </c>
      <c r="H236" s="6" t="s">
        <v>10</v>
      </c>
    </row>
    <row r="237" ht="20.1" customHeight="1" spans="1:8">
      <c r="A237" s="5" t="str">
        <f t="shared" si="15"/>
        <v>221002</v>
      </c>
      <c r="B237" s="5" t="str">
        <f>"2022110825"</f>
        <v>2022110825</v>
      </c>
      <c r="C237" s="5" t="str">
        <f t="shared" si="14"/>
        <v>08</v>
      </c>
      <c r="D237" s="5" t="str">
        <f>"25"</f>
        <v>25</v>
      </c>
      <c r="E237" s="6">
        <v>0</v>
      </c>
      <c r="F237" s="6">
        <v>0</v>
      </c>
      <c r="G237" s="6">
        <v>0</v>
      </c>
      <c r="H237" s="6" t="s">
        <v>10</v>
      </c>
    </row>
    <row r="238" ht="20.1" customHeight="1" spans="1:8">
      <c r="A238" s="5" t="str">
        <f t="shared" si="15"/>
        <v>221002</v>
      </c>
      <c r="B238" s="5" t="str">
        <f>"2022110826"</f>
        <v>2022110826</v>
      </c>
      <c r="C238" s="5" t="str">
        <f t="shared" si="14"/>
        <v>08</v>
      </c>
      <c r="D238" s="5" t="str">
        <f>"26"</f>
        <v>26</v>
      </c>
      <c r="E238" s="6">
        <v>88.5</v>
      </c>
      <c r="F238" s="6">
        <v>115.2</v>
      </c>
      <c r="G238" s="6">
        <v>67.9</v>
      </c>
      <c r="H238" s="6" t="s">
        <v>9</v>
      </c>
    </row>
    <row r="239" ht="20.1" customHeight="1" spans="1:8">
      <c r="A239" s="5" t="str">
        <f t="shared" si="15"/>
        <v>221002</v>
      </c>
      <c r="B239" s="5" t="str">
        <f>"2022110827"</f>
        <v>2022110827</v>
      </c>
      <c r="C239" s="5" t="str">
        <f t="shared" si="14"/>
        <v>08</v>
      </c>
      <c r="D239" s="5" t="str">
        <f>"27"</f>
        <v>27</v>
      </c>
      <c r="E239" s="6">
        <v>118.5</v>
      </c>
      <c r="F239" s="6">
        <v>113.6</v>
      </c>
      <c r="G239" s="6">
        <v>77.3666666666667</v>
      </c>
      <c r="H239" s="6" t="s">
        <v>9</v>
      </c>
    </row>
    <row r="240" ht="20.1" customHeight="1" spans="1:8">
      <c r="A240" s="5" t="str">
        <f t="shared" si="15"/>
        <v>221002</v>
      </c>
      <c r="B240" s="5" t="str">
        <f>"2022110828"</f>
        <v>2022110828</v>
      </c>
      <c r="C240" s="5" t="str">
        <f t="shared" si="14"/>
        <v>08</v>
      </c>
      <c r="D240" s="5" t="str">
        <f>"28"</f>
        <v>28</v>
      </c>
      <c r="E240" s="6">
        <v>112.5</v>
      </c>
      <c r="F240" s="6">
        <v>96.5</v>
      </c>
      <c r="G240" s="6">
        <v>69.6666666666667</v>
      </c>
      <c r="H240" s="6" t="s">
        <v>9</v>
      </c>
    </row>
    <row r="241" ht="20.1" customHeight="1" spans="1:8">
      <c r="A241" s="5" t="str">
        <f t="shared" si="15"/>
        <v>221002</v>
      </c>
      <c r="B241" s="5" t="str">
        <f>"2022110829"</f>
        <v>2022110829</v>
      </c>
      <c r="C241" s="5" t="str">
        <f t="shared" si="14"/>
        <v>08</v>
      </c>
      <c r="D241" s="5" t="str">
        <f>"29"</f>
        <v>29</v>
      </c>
      <c r="E241" s="6">
        <v>0</v>
      </c>
      <c r="F241" s="6">
        <v>0</v>
      </c>
      <c r="G241" s="6">
        <v>0</v>
      </c>
      <c r="H241" s="6" t="s">
        <v>10</v>
      </c>
    </row>
    <row r="242" ht="20.1" customHeight="1" spans="1:8">
      <c r="A242" s="5" t="str">
        <f t="shared" si="15"/>
        <v>221002</v>
      </c>
      <c r="B242" s="5" t="str">
        <f>"2022110830"</f>
        <v>2022110830</v>
      </c>
      <c r="C242" s="5" t="str">
        <f t="shared" si="14"/>
        <v>08</v>
      </c>
      <c r="D242" s="5" t="str">
        <f>"30"</f>
        <v>30</v>
      </c>
      <c r="E242" s="6">
        <v>84</v>
      </c>
      <c r="F242" s="6">
        <v>82.3</v>
      </c>
      <c r="G242" s="6">
        <v>55.4333333333333</v>
      </c>
      <c r="H242" s="6" t="s">
        <v>9</v>
      </c>
    </row>
    <row r="243" ht="20.1" customHeight="1" spans="1:8">
      <c r="A243" s="5" t="str">
        <f t="shared" si="15"/>
        <v>221002</v>
      </c>
      <c r="B243" s="5" t="str">
        <f>"2022110901"</f>
        <v>2022110901</v>
      </c>
      <c r="C243" s="5" t="str">
        <f t="shared" ref="C243:C272" si="16">"09"</f>
        <v>09</v>
      </c>
      <c r="D243" s="5" t="str">
        <f>"01"</f>
        <v>01</v>
      </c>
      <c r="E243" s="6">
        <v>99</v>
      </c>
      <c r="F243" s="6">
        <v>110.9</v>
      </c>
      <c r="G243" s="6">
        <v>69.9666666666667</v>
      </c>
      <c r="H243" s="6" t="s">
        <v>9</v>
      </c>
    </row>
    <row r="244" ht="20.1" customHeight="1" spans="1:8">
      <c r="A244" s="5" t="str">
        <f t="shared" si="15"/>
        <v>221002</v>
      </c>
      <c r="B244" s="5" t="str">
        <f>"2022110902"</f>
        <v>2022110902</v>
      </c>
      <c r="C244" s="5" t="str">
        <f t="shared" si="16"/>
        <v>09</v>
      </c>
      <c r="D244" s="5" t="str">
        <f>"02"</f>
        <v>02</v>
      </c>
      <c r="E244" s="6">
        <v>123</v>
      </c>
      <c r="F244" s="6">
        <v>110.2</v>
      </c>
      <c r="G244" s="6">
        <v>77.7333333333333</v>
      </c>
      <c r="H244" s="6" t="s">
        <v>9</v>
      </c>
    </row>
    <row r="245" ht="20.1" customHeight="1" spans="1:8">
      <c r="A245" s="5" t="str">
        <f t="shared" si="15"/>
        <v>221002</v>
      </c>
      <c r="B245" s="5" t="str">
        <f>"2022110903"</f>
        <v>2022110903</v>
      </c>
      <c r="C245" s="5" t="str">
        <f t="shared" si="16"/>
        <v>09</v>
      </c>
      <c r="D245" s="5" t="str">
        <f>"03"</f>
        <v>03</v>
      </c>
      <c r="E245" s="6">
        <v>103.5</v>
      </c>
      <c r="F245" s="6">
        <v>91.8</v>
      </c>
      <c r="G245" s="6">
        <v>65.1</v>
      </c>
      <c r="H245" s="6" t="s">
        <v>9</v>
      </c>
    </row>
    <row r="246" ht="20.1" customHeight="1" spans="1:8">
      <c r="A246" s="5" t="str">
        <f t="shared" si="15"/>
        <v>221002</v>
      </c>
      <c r="B246" s="5" t="str">
        <f>"2022110904"</f>
        <v>2022110904</v>
      </c>
      <c r="C246" s="5" t="str">
        <f t="shared" si="16"/>
        <v>09</v>
      </c>
      <c r="D246" s="5" t="str">
        <f>"04"</f>
        <v>04</v>
      </c>
      <c r="E246" s="6">
        <v>118.5</v>
      </c>
      <c r="F246" s="6">
        <v>99</v>
      </c>
      <c r="G246" s="6">
        <v>72.5</v>
      </c>
      <c r="H246" s="6" t="s">
        <v>9</v>
      </c>
    </row>
    <row r="247" ht="20.1" customHeight="1" spans="1:8">
      <c r="A247" s="5" t="str">
        <f t="shared" si="15"/>
        <v>221002</v>
      </c>
      <c r="B247" s="5" t="str">
        <f>"2022110905"</f>
        <v>2022110905</v>
      </c>
      <c r="C247" s="5" t="str">
        <f t="shared" si="16"/>
        <v>09</v>
      </c>
      <c r="D247" s="5" t="str">
        <f>"05"</f>
        <v>05</v>
      </c>
      <c r="E247" s="6">
        <v>109.5</v>
      </c>
      <c r="F247" s="6">
        <v>111.7</v>
      </c>
      <c r="G247" s="6">
        <v>73.7333333333333</v>
      </c>
      <c r="H247" s="6" t="s">
        <v>9</v>
      </c>
    </row>
    <row r="248" ht="20.1" customHeight="1" spans="1:8">
      <c r="A248" s="5" t="str">
        <f t="shared" si="15"/>
        <v>221002</v>
      </c>
      <c r="B248" s="5" t="str">
        <f>"2022110906"</f>
        <v>2022110906</v>
      </c>
      <c r="C248" s="5" t="str">
        <f t="shared" si="16"/>
        <v>09</v>
      </c>
      <c r="D248" s="5" t="str">
        <f>"06"</f>
        <v>06</v>
      </c>
      <c r="E248" s="6">
        <v>0</v>
      </c>
      <c r="F248" s="6">
        <v>0</v>
      </c>
      <c r="G248" s="6">
        <v>0</v>
      </c>
      <c r="H248" s="6" t="s">
        <v>10</v>
      </c>
    </row>
    <row r="249" ht="20.1" customHeight="1" spans="1:8">
      <c r="A249" s="5" t="str">
        <f t="shared" si="15"/>
        <v>221002</v>
      </c>
      <c r="B249" s="5" t="str">
        <f>"2022110907"</f>
        <v>2022110907</v>
      </c>
      <c r="C249" s="5" t="str">
        <f t="shared" si="16"/>
        <v>09</v>
      </c>
      <c r="D249" s="5" t="str">
        <f>"07"</f>
        <v>07</v>
      </c>
      <c r="E249" s="6">
        <v>0</v>
      </c>
      <c r="F249" s="6">
        <v>0</v>
      </c>
      <c r="G249" s="6">
        <v>0</v>
      </c>
      <c r="H249" s="6" t="s">
        <v>10</v>
      </c>
    </row>
    <row r="250" ht="20.1" customHeight="1" spans="1:8">
      <c r="A250" s="5" t="str">
        <f t="shared" ref="A250:A291" si="17">"221003"</f>
        <v>221003</v>
      </c>
      <c r="B250" s="5" t="str">
        <f>"2022110908"</f>
        <v>2022110908</v>
      </c>
      <c r="C250" s="5" t="str">
        <f t="shared" si="16"/>
        <v>09</v>
      </c>
      <c r="D250" s="5" t="str">
        <f>"08"</f>
        <v>08</v>
      </c>
      <c r="E250" s="6">
        <v>136.5</v>
      </c>
      <c r="F250" s="6">
        <v>109.8</v>
      </c>
      <c r="G250" s="6">
        <v>82.1</v>
      </c>
      <c r="H250" s="7" t="s">
        <v>11</v>
      </c>
    </row>
    <row r="251" ht="20.1" customHeight="1" spans="1:8">
      <c r="A251" s="5" t="str">
        <f t="shared" si="17"/>
        <v>221003</v>
      </c>
      <c r="B251" s="5" t="str">
        <f>"2022110909"</f>
        <v>2022110909</v>
      </c>
      <c r="C251" s="5" t="str">
        <f t="shared" si="16"/>
        <v>09</v>
      </c>
      <c r="D251" s="5" t="str">
        <f>"09"</f>
        <v>09</v>
      </c>
      <c r="E251" s="6">
        <v>0</v>
      </c>
      <c r="F251" s="6">
        <v>0</v>
      </c>
      <c r="G251" s="6">
        <v>0</v>
      </c>
      <c r="H251" s="6" t="s">
        <v>10</v>
      </c>
    </row>
    <row r="252" ht="20.1" customHeight="1" spans="1:8">
      <c r="A252" s="5" t="str">
        <f t="shared" si="17"/>
        <v>221003</v>
      </c>
      <c r="B252" s="5" t="str">
        <f>"2022110910"</f>
        <v>2022110910</v>
      </c>
      <c r="C252" s="5" t="str">
        <f t="shared" si="16"/>
        <v>09</v>
      </c>
      <c r="D252" s="5" t="str">
        <f>"10"</f>
        <v>10</v>
      </c>
      <c r="E252" s="6">
        <v>102</v>
      </c>
      <c r="F252" s="6">
        <v>100.1</v>
      </c>
      <c r="G252" s="6">
        <v>67.3666666666667</v>
      </c>
      <c r="H252" s="6" t="s">
        <v>9</v>
      </c>
    </row>
    <row r="253" ht="20.1" customHeight="1" spans="1:8">
      <c r="A253" s="5" t="str">
        <f t="shared" si="17"/>
        <v>221003</v>
      </c>
      <c r="B253" s="5" t="str">
        <f>"2022110911"</f>
        <v>2022110911</v>
      </c>
      <c r="C253" s="5" t="str">
        <f t="shared" si="16"/>
        <v>09</v>
      </c>
      <c r="D253" s="5" t="str">
        <f>"11"</f>
        <v>11</v>
      </c>
      <c r="E253" s="6">
        <v>0</v>
      </c>
      <c r="F253" s="6">
        <v>0</v>
      </c>
      <c r="G253" s="6">
        <v>0</v>
      </c>
      <c r="H253" s="6" t="s">
        <v>10</v>
      </c>
    </row>
    <row r="254" ht="20.1" customHeight="1" spans="1:8">
      <c r="A254" s="5" t="str">
        <f t="shared" si="17"/>
        <v>221003</v>
      </c>
      <c r="B254" s="5" t="str">
        <f>"2022110912"</f>
        <v>2022110912</v>
      </c>
      <c r="C254" s="5" t="str">
        <f t="shared" si="16"/>
        <v>09</v>
      </c>
      <c r="D254" s="5" t="str">
        <f>"12"</f>
        <v>12</v>
      </c>
      <c r="E254" s="6">
        <v>106.5</v>
      </c>
      <c r="F254" s="6">
        <v>113.9</v>
      </c>
      <c r="G254" s="6">
        <v>73.4666666666667</v>
      </c>
      <c r="H254" s="6" t="s">
        <v>9</v>
      </c>
    </row>
    <row r="255" ht="20.1" customHeight="1" spans="1:8">
      <c r="A255" s="5" t="str">
        <f t="shared" si="17"/>
        <v>221003</v>
      </c>
      <c r="B255" s="5" t="str">
        <f>"2022110913"</f>
        <v>2022110913</v>
      </c>
      <c r="C255" s="5" t="str">
        <f t="shared" si="16"/>
        <v>09</v>
      </c>
      <c r="D255" s="5" t="str">
        <f>"13"</f>
        <v>13</v>
      </c>
      <c r="E255" s="6">
        <v>127.5</v>
      </c>
      <c r="F255" s="6">
        <v>112.6</v>
      </c>
      <c r="G255" s="6">
        <v>80.0333333333333</v>
      </c>
      <c r="H255" s="7" t="s">
        <v>11</v>
      </c>
    </row>
    <row r="256" ht="20.1" customHeight="1" spans="1:8">
      <c r="A256" s="5" t="str">
        <f t="shared" si="17"/>
        <v>221003</v>
      </c>
      <c r="B256" s="5" t="str">
        <f>"2022110914"</f>
        <v>2022110914</v>
      </c>
      <c r="C256" s="5" t="str">
        <f t="shared" si="16"/>
        <v>09</v>
      </c>
      <c r="D256" s="5" t="str">
        <f>"14"</f>
        <v>14</v>
      </c>
      <c r="E256" s="6">
        <v>82.5</v>
      </c>
      <c r="F256" s="6">
        <v>99.4</v>
      </c>
      <c r="G256" s="6">
        <v>60.6333333333333</v>
      </c>
      <c r="H256" s="6" t="s">
        <v>9</v>
      </c>
    </row>
    <row r="257" ht="20.1" customHeight="1" spans="1:8">
      <c r="A257" s="5" t="str">
        <f t="shared" si="17"/>
        <v>221003</v>
      </c>
      <c r="B257" s="5" t="str">
        <f>"2022110915"</f>
        <v>2022110915</v>
      </c>
      <c r="C257" s="5" t="str">
        <f t="shared" si="16"/>
        <v>09</v>
      </c>
      <c r="D257" s="5" t="str">
        <f>"15"</f>
        <v>15</v>
      </c>
      <c r="E257" s="6">
        <v>111</v>
      </c>
      <c r="F257" s="6">
        <v>111.6</v>
      </c>
      <c r="G257" s="6">
        <v>74.2</v>
      </c>
      <c r="H257" s="6" t="s">
        <v>9</v>
      </c>
    </row>
    <row r="258" ht="20.1" customHeight="1" spans="1:8">
      <c r="A258" s="5" t="str">
        <f t="shared" si="17"/>
        <v>221003</v>
      </c>
      <c r="B258" s="5" t="str">
        <f>"2022110916"</f>
        <v>2022110916</v>
      </c>
      <c r="C258" s="5" t="str">
        <f t="shared" si="16"/>
        <v>09</v>
      </c>
      <c r="D258" s="5" t="str">
        <f>"16"</f>
        <v>16</v>
      </c>
      <c r="E258" s="6">
        <v>0</v>
      </c>
      <c r="F258" s="6">
        <v>0</v>
      </c>
      <c r="G258" s="6">
        <v>0</v>
      </c>
      <c r="H258" s="6" t="s">
        <v>10</v>
      </c>
    </row>
    <row r="259" ht="20.1" customHeight="1" spans="1:8">
      <c r="A259" s="5" t="str">
        <f t="shared" si="17"/>
        <v>221003</v>
      </c>
      <c r="B259" s="5" t="str">
        <f>"2022110917"</f>
        <v>2022110917</v>
      </c>
      <c r="C259" s="5" t="str">
        <f t="shared" si="16"/>
        <v>09</v>
      </c>
      <c r="D259" s="5" t="str">
        <f>"17"</f>
        <v>17</v>
      </c>
      <c r="E259" s="6">
        <v>126</v>
      </c>
      <c r="F259" s="6">
        <v>91.2</v>
      </c>
      <c r="G259" s="6">
        <v>72.4</v>
      </c>
      <c r="H259" s="6" t="s">
        <v>9</v>
      </c>
    </row>
    <row r="260" ht="20.1" customHeight="1" spans="1:8">
      <c r="A260" s="5" t="str">
        <f t="shared" si="17"/>
        <v>221003</v>
      </c>
      <c r="B260" s="5" t="str">
        <f>"2022110918"</f>
        <v>2022110918</v>
      </c>
      <c r="C260" s="5" t="str">
        <f t="shared" si="16"/>
        <v>09</v>
      </c>
      <c r="D260" s="5" t="str">
        <f>"18"</f>
        <v>18</v>
      </c>
      <c r="E260" s="6">
        <v>132</v>
      </c>
      <c r="F260" s="6">
        <v>98.3</v>
      </c>
      <c r="G260" s="6">
        <v>76.7666666666667</v>
      </c>
      <c r="H260" s="6" t="s">
        <v>9</v>
      </c>
    </row>
    <row r="261" ht="20.1" customHeight="1" spans="1:8">
      <c r="A261" s="5" t="str">
        <f t="shared" si="17"/>
        <v>221003</v>
      </c>
      <c r="B261" s="5" t="str">
        <f>"2022110919"</f>
        <v>2022110919</v>
      </c>
      <c r="C261" s="5" t="str">
        <f t="shared" si="16"/>
        <v>09</v>
      </c>
      <c r="D261" s="5" t="str">
        <f>"19"</f>
        <v>19</v>
      </c>
      <c r="E261" s="6">
        <v>120</v>
      </c>
      <c r="F261" s="6">
        <v>98.8</v>
      </c>
      <c r="G261" s="6">
        <v>72.9333333333333</v>
      </c>
      <c r="H261" s="6" t="s">
        <v>9</v>
      </c>
    </row>
    <row r="262" ht="20.1" customHeight="1" spans="1:8">
      <c r="A262" s="5" t="str">
        <f t="shared" si="17"/>
        <v>221003</v>
      </c>
      <c r="B262" s="5" t="str">
        <f>"2022110920"</f>
        <v>2022110920</v>
      </c>
      <c r="C262" s="5" t="str">
        <f t="shared" si="16"/>
        <v>09</v>
      </c>
      <c r="D262" s="5" t="str">
        <f>"20"</f>
        <v>20</v>
      </c>
      <c r="E262" s="6">
        <v>130.5</v>
      </c>
      <c r="F262" s="6">
        <v>101.4</v>
      </c>
      <c r="G262" s="6">
        <v>77.3</v>
      </c>
      <c r="H262" s="6" t="s">
        <v>9</v>
      </c>
    </row>
    <row r="263" ht="20.1" customHeight="1" spans="1:8">
      <c r="A263" s="5" t="str">
        <f t="shared" si="17"/>
        <v>221003</v>
      </c>
      <c r="B263" s="5" t="str">
        <f>"2022110921"</f>
        <v>2022110921</v>
      </c>
      <c r="C263" s="5" t="str">
        <f t="shared" si="16"/>
        <v>09</v>
      </c>
      <c r="D263" s="5" t="str">
        <f>"21"</f>
        <v>21</v>
      </c>
      <c r="E263" s="6">
        <v>96</v>
      </c>
      <c r="F263" s="6">
        <v>81.4</v>
      </c>
      <c r="G263" s="6">
        <v>59.1333333333333</v>
      </c>
      <c r="H263" s="6" t="s">
        <v>9</v>
      </c>
    </row>
    <row r="264" ht="20.1" customHeight="1" spans="1:8">
      <c r="A264" s="5" t="str">
        <f t="shared" si="17"/>
        <v>221003</v>
      </c>
      <c r="B264" s="5" t="str">
        <f>"2022110922"</f>
        <v>2022110922</v>
      </c>
      <c r="C264" s="5" t="str">
        <f t="shared" si="16"/>
        <v>09</v>
      </c>
      <c r="D264" s="5" t="str">
        <f>"22"</f>
        <v>22</v>
      </c>
      <c r="E264" s="6">
        <v>108</v>
      </c>
      <c r="F264" s="6">
        <v>116.8</v>
      </c>
      <c r="G264" s="6">
        <v>74.9333333333333</v>
      </c>
      <c r="H264" s="6" t="s">
        <v>9</v>
      </c>
    </row>
    <row r="265" ht="20.1" customHeight="1" spans="1:8">
      <c r="A265" s="5" t="str">
        <f t="shared" si="17"/>
        <v>221003</v>
      </c>
      <c r="B265" s="5" t="str">
        <f>"2022110923"</f>
        <v>2022110923</v>
      </c>
      <c r="C265" s="5" t="str">
        <f t="shared" si="16"/>
        <v>09</v>
      </c>
      <c r="D265" s="5" t="str">
        <f>"23"</f>
        <v>23</v>
      </c>
      <c r="E265" s="6">
        <v>112.5</v>
      </c>
      <c r="F265" s="6">
        <v>98.7</v>
      </c>
      <c r="G265" s="6">
        <v>70.4</v>
      </c>
      <c r="H265" s="6" t="s">
        <v>9</v>
      </c>
    </row>
    <row r="266" ht="20.1" customHeight="1" spans="1:8">
      <c r="A266" s="5" t="str">
        <f t="shared" si="17"/>
        <v>221003</v>
      </c>
      <c r="B266" s="5" t="str">
        <f>"2022110924"</f>
        <v>2022110924</v>
      </c>
      <c r="C266" s="5" t="str">
        <f t="shared" si="16"/>
        <v>09</v>
      </c>
      <c r="D266" s="5" t="str">
        <f>"24"</f>
        <v>24</v>
      </c>
      <c r="E266" s="6">
        <v>117</v>
      </c>
      <c r="F266" s="6">
        <v>110.1</v>
      </c>
      <c r="G266" s="6">
        <v>75.7</v>
      </c>
      <c r="H266" s="6" t="s">
        <v>9</v>
      </c>
    </row>
    <row r="267" ht="20.1" customHeight="1" spans="1:8">
      <c r="A267" s="5" t="str">
        <f t="shared" si="17"/>
        <v>221003</v>
      </c>
      <c r="B267" s="5" t="str">
        <f>"2022110925"</f>
        <v>2022110925</v>
      </c>
      <c r="C267" s="5" t="str">
        <f t="shared" si="16"/>
        <v>09</v>
      </c>
      <c r="D267" s="5" t="str">
        <f>"25"</f>
        <v>25</v>
      </c>
      <c r="E267" s="6">
        <v>105</v>
      </c>
      <c r="F267" s="6">
        <v>109.1</v>
      </c>
      <c r="G267" s="6">
        <v>71.3666666666667</v>
      </c>
      <c r="H267" s="6" t="s">
        <v>9</v>
      </c>
    </row>
    <row r="268" ht="20.1" customHeight="1" spans="1:8">
      <c r="A268" s="5" t="str">
        <f t="shared" si="17"/>
        <v>221003</v>
      </c>
      <c r="B268" s="5" t="str">
        <f>"2022110926"</f>
        <v>2022110926</v>
      </c>
      <c r="C268" s="5" t="str">
        <f t="shared" si="16"/>
        <v>09</v>
      </c>
      <c r="D268" s="5" t="str">
        <f>"26"</f>
        <v>26</v>
      </c>
      <c r="E268" s="6">
        <v>127.5</v>
      </c>
      <c r="F268" s="6">
        <v>56.7</v>
      </c>
      <c r="G268" s="6">
        <v>61.4</v>
      </c>
      <c r="H268" s="6" t="s">
        <v>9</v>
      </c>
    </row>
    <row r="269" ht="20.1" customHeight="1" spans="1:8">
      <c r="A269" s="5" t="str">
        <f t="shared" si="17"/>
        <v>221003</v>
      </c>
      <c r="B269" s="5" t="str">
        <f>"2022110927"</f>
        <v>2022110927</v>
      </c>
      <c r="C269" s="5" t="str">
        <f t="shared" si="16"/>
        <v>09</v>
      </c>
      <c r="D269" s="5" t="str">
        <f>"27"</f>
        <v>27</v>
      </c>
      <c r="E269" s="6">
        <v>0</v>
      </c>
      <c r="F269" s="6">
        <v>0</v>
      </c>
      <c r="G269" s="6">
        <v>0</v>
      </c>
      <c r="H269" s="6" t="s">
        <v>10</v>
      </c>
    </row>
    <row r="270" ht="20.1" customHeight="1" spans="1:8">
      <c r="A270" s="5" t="str">
        <f t="shared" si="17"/>
        <v>221003</v>
      </c>
      <c r="B270" s="5" t="str">
        <f>"2022110928"</f>
        <v>2022110928</v>
      </c>
      <c r="C270" s="5" t="str">
        <f t="shared" si="16"/>
        <v>09</v>
      </c>
      <c r="D270" s="5" t="str">
        <f>"28"</f>
        <v>28</v>
      </c>
      <c r="E270" s="6">
        <v>0</v>
      </c>
      <c r="F270" s="6">
        <v>0</v>
      </c>
      <c r="G270" s="6">
        <v>0</v>
      </c>
      <c r="H270" s="6" t="s">
        <v>10</v>
      </c>
    </row>
    <row r="271" ht="20.1" customHeight="1" spans="1:8">
      <c r="A271" s="5" t="str">
        <f t="shared" si="17"/>
        <v>221003</v>
      </c>
      <c r="B271" s="5" t="str">
        <f>"2022110929"</f>
        <v>2022110929</v>
      </c>
      <c r="C271" s="5" t="str">
        <f t="shared" si="16"/>
        <v>09</v>
      </c>
      <c r="D271" s="5" t="str">
        <f>"29"</f>
        <v>29</v>
      </c>
      <c r="E271" s="6">
        <v>123</v>
      </c>
      <c r="F271" s="6">
        <v>109.3</v>
      </c>
      <c r="G271" s="6">
        <v>77.4333333333333</v>
      </c>
      <c r="H271" s="6" t="s">
        <v>9</v>
      </c>
    </row>
    <row r="272" ht="20.1" customHeight="1" spans="1:8">
      <c r="A272" s="5" t="str">
        <f t="shared" si="17"/>
        <v>221003</v>
      </c>
      <c r="B272" s="5" t="str">
        <f>"2022110930"</f>
        <v>2022110930</v>
      </c>
      <c r="C272" s="5" t="str">
        <f t="shared" si="16"/>
        <v>09</v>
      </c>
      <c r="D272" s="5" t="str">
        <f>"30"</f>
        <v>30</v>
      </c>
      <c r="E272" s="6">
        <v>111</v>
      </c>
      <c r="F272" s="6">
        <v>115.3</v>
      </c>
      <c r="G272" s="6">
        <v>75.4333333333333</v>
      </c>
      <c r="H272" s="6" t="s">
        <v>9</v>
      </c>
    </row>
    <row r="273" ht="20.1" customHeight="1" spans="1:8">
      <c r="A273" s="5" t="str">
        <f t="shared" si="17"/>
        <v>221003</v>
      </c>
      <c r="B273" s="5" t="str">
        <f>"2022111001"</f>
        <v>2022111001</v>
      </c>
      <c r="C273" s="5" t="str">
        <f t="shared" ref="C273:C302" si="18">"10"</f>
        <v>10</v>
      </c>
      <c r="D273" s="5" t="str">
        <f>"01"</f>
        <v>01</v>
      </c>
      <c r="E273" s="6">
        <v>118.5</v>
      </c>
      <c r="F273" s="6">
        <v>103.2</v>
      </c>
      <c r="G273" s="6">
        <v>73.9</v>
      </c>
      <c r="H273" s="6" t="s">
        <v>9</v>
      </c>
    </row>
    <row r="274" ht="20.1" customHeight="1" spans="1:8">
      <c r="A274" s="5" t="str">
        <f t="shared" si="17"/>
        <v>221003</v>
      </c>
      <c r="B274" s="5" t="str">
        <f>"2022111002"</f>
        <v>2022111002</v>
      </c>
      <c r="C274" s="5" t="str">
        <f t="shared" si="18"/>
        <v>10</v>
      </c>
      <c r="D274" s="5" t="str">
        <f>"02"</f>
        <v>02</v>
      </c>
      <c r="E274" s="6">
        <v>121.5</v>
      </c>
      <c r="F274" s="6">
        <v>103.3</v>
      </c>
      <c r="G274" s="6">
        <v>74.9333333333333</v>
      </c>
      <c r="H274" s="6" t="s">
        <v>9</v>
      </c>
    </row>
    <row r="275" ht="20.1" customHeight="1" spans="1:8">
      <c r="A275" s="5" t="str">
        <f t="shared" si="17"/>
        <v>221003</v>
      </c>
      <c r="B275" s="5" t="str">
        <f>"2022111003"</f>
        <v>2022111003</v>
      </c>
      <c r="C275" s="5" t="str">
        <f t="shared" si="18"/>
        <v>10</v>
      </c>
      <c r="D275" s="5" t="str">
        <f>"03"</f>
        <v>03</v>
      </c>
      <c r="E275" s="6">
        <v>129</v>
      </c>
      <c r="F275" s="6">
        <v>106.6</v>
      </c>
      <c r="G275" s="6">
        <v>78.5333333333333</v>
      </c>
      <c r="H275" s="6" t="s">
        <v>9</v>
      </c>
    </row>
    <row r="276" ht="20.1" customHeight="1" spans="1:8">
      <c r="A276" s="5" t="str">
        <f t="shared" si="17"/>
        <v>221003</v>
      </c>
      <c r="B276" s="5" t="str">
        <f>"2022111004"</f>
        <v>2022111004</v>
      </c>
      <c r="C276" s="5" t="str">
        <f t="shared" si="18"/>
        <v>10</v>
      </c>
      <c r="D276" s="5" t="str">
        <f>"04"</f>
        <v>04</v>
      </c>
      <c r="E276" s="6">
        <v>0</v>
      </c>
      <c r="F276" s="6">
        <v>0</v>
      </c>
      <c r="G276" s="6">
        <v>0</v>
      </c>
      <c r="H276" s="6" t="s">
        <v>10</v>
      </c>
    </row>
    <row r="277" ht="20.1" customHeight="1" spans="1:8">
      <c r="A277" s="5" t="str">
        <f t="shared" si="17"/>
        <v>221003</v>
      </c>
      <c r="B277" s="5" t="str">
        <f>"2022111005"</f>
        <v>2022111005</v>
      </c>
      <c r="C277" s="5" t="str">
        <f t="shared" si="18"/>
        <v>10</v>
      </c>
      <c r="D277" s="5" t="str">
        <f>"05"</f>
        <v>05</v>
      </c>
      <c r="E277" s="6">
        <v>0</v>
      </c>
      <c r="F277" s="6">
        <v>0</v>
      </c>
      <c r="G277" s="6">
        <v>0</v>
      </c>
      <c r="H277" s="6" t="s">
        <v>10</v>
      </c>
    </row>
    <row r="278" ht="20.1" customHeight="1" spans="1:8">
      <c r="A278" s="5" t="str">
        <f t="shared" si="17"/>
        <v>221003</v>
      </c>
      <c r="B278" s="5" t="str">
        <f>"2022111006"</f>
        <v>2022111006</v>
      </c>
      <c r="C278" s="5" t="str">
        <f t="shared" si="18"/>
        <v>10</v>
      </c>
      <c r="D278" s="5" t="str">
        <f>"06"</f>
        <v>06</v>
      </c>
      <c r="E278" s="6">
        <v>118.5</v>
      </c>
      <c r="F278" s="6">
        <v>97.8</v>
      </c>
      <c r="G278" s="6">
        <v>72.1</v>
      </c>
      <c r="H278" s="6" t="s">
        <v>9</v>
      </c>
    </row>
    <row r="279" ht="20.1" customHeight="1" spans="1:8">
      <c r="A279" s="5" t="str">
        <f t="shared" si="17"/>
        <v>221003</v>
      </c>
      <c r="B279" s="5" t="str">
        <f>"2022111007"</f>
        <v>2022111007</v>
      </c>
      <c r="C279" s="5" t="str">
        <f t="shared" si="18"/>
        <v>10</v>
      </c>
      <c r="D279" s="5" t="str">
        <f>"07"</f>
        <v>07</v>
      </c>
      <c r="E279" s="6">
        <v>0</v>
      </c>
      <c r="F279" s="6">
        <v>0</v>
      </c>
      <c r="G279" s="6">
        <v>0</v>
      </c>
      <c r="H279" s="6" t="s">
        <v>10</v>
      </c>
    </row>
    <row r="280" ht="20.1" customHeight="1" spans="1:8">
      <c r="A280" s="5" t="str">
        <f t="shared" si="17"/>
        <v>221003</v>
      </c>
      <c r="B280" s="5" t="str">
        <f>"2022111008"</f>
        <v>2022111008</v>
      </c>
      <c r="C280" s="5" t="str">
        <f t="shared" si="18"/>
        <v>10</v>
      </c>
      <c r="D280" s="5" t="str">
        <f>"08"</f>
        <v>08</v>
      </c>
      <c r="E280" s="6">
        <v>121.5</v>
      </c>
      <c r="F280" s="6">
        <v>96.8</v>
      </c>
      <c r="G280" s="6">
        <v>72.7666666666667</v>
      </c>
      <c r="H280" s="6" t="s">
        <v>9</v>
      </c>
    </row>
    <row r="281" ht="20.1" customHeight="1" spans="1:8">
      <c r="A281" s="5" t="str">
        <f t="shared" si="17"/>
        <v>221003</v>
      </c>
      <c r="B281" s="5" t="str">
        <f>"2022111009"</f>
        <v>2022111009</v>
      </c>
      <c r="C281" s="5" t="str">
        <f t="shared" si="18"/>
        <v>10</v>
      </c>
      <c r="D281" s="5" t="str">
        <f>"09"</f>
        <v>09</v>
      </c>
      <c r="E281" s="6">
        <v>127.5</v>
      </c>
      <c r="F281" s="6">
        <v>109</v>
      </c>
      <c r="G281" s="6">
        <v>78.8333333333333</v>
      </c>
      <c r="H281" s="6" t="s">
        <v>9</v>
      </c>
    </row>
    <row r="282" ht="20.1" customHeight="1" spans="1:8">
      <c r="A282" s="5" t="str">
        <f t="shared" si="17"/>
        <v>221003</v>
      </c>
      <c r="B282" s="5" t="str">
        <f>"2022111010"</f>
        <v>2022111010</v>
      </c>
      <c r="C282" s="5" t="str">
        <f t="shared" si="18"/>
        <v>10</v>
      </c>
      <c r="D282" s="5" t="str">
        <f>"10"</f>
        <v>10</v>
      </c>
      <c r="E282" s="6">
        <v>114</v>
      </c>
      <c r="F282" s="6">
        <v>117.1</v>
      </c>
      <c r="G282" s="6">
        <v>77.0333333333333</v>
      </c>
      <c r="H282" s="6" t="s">
        <v>9</v>
      </c>
    </row>
    <row r="283" ht="20.1" customHeight="1" spans="1:8">
      <c r="A283" s="5" t="str">
        <f t="shared" si="17"/>
        <v>221003</v>
      </c>
      <c r="B283" s="5" t="str">
        <f>"2022111011"</f>
        <v>2022111011</v>
      </c>
      <c r="C283" s="5" t="str">
        <f t="shared" si="18"/>
        <v>10</v>
      </c>
      <c r="D283" s="5" t="str">
        <f>"11"</f>
        <v>11</v>
      </c>
      <c r="E283" s="6">
        <v>102</v>
      </c>
      <c r="F283" s="6">
        <v>95</v>
      </c>
      <c r="G283" s="6">
        <v>65.6666666666667</v>
      </c>
      <c r="H283" s="6" t="s">
        <v>9</v>
      </c>
    </row>
    <row r="284" ht="20.1" customHeight="1" spans="1:8">
      <c r="A284" s="5" t="str">
        <f t="shared" si="17"/>
        <v>221003</v>
      </c>
      <c r="B284" s="5" t="str">
        <f>"2022111012"</f>
        <v>2022111012</v>
      </c>
      <c r="C284" s="5" t="str">
        <f t="shared" si="18"/>
        <v>10</v>
      </c>
      <c r="D284" s="5" t="str">
        <f>"12"</f>
        <v>12</v>
      </c>
      <c r="E284" s="6">
        <v>123</v>
      </c>
      <c r="F284" s="6">
        <v>114.3</v>
      </c>
      <c r="G284" s="6">
        <v>79.1</v>
      </c>
      <c r="H284" s="7" t="s">
        <v>11</v>
      </c>
    </row>
    <row r="285" ht="20.1" customHeight="1" spans="1:8">
      <c r="A285" s="5" t="str">
        <f t="shared" si="17"/>
        <v>221003</v>
      </c>
      <c r="B285" s="5" t="str">
        <f>"2022111013"</f>
        <v>2022111013</v>
      </c>
      <c r="C285" s="5" t="str">
        <f t="shared" si="18"/>
        <v>10</v>
      </c>
      <c r="D285" s="5" t="str">
        <f>"13"</f>
        <v>13</v>
      </c>
      <c r="E285" s="6">
        <v>109.5</v>
      </c>
      <c r="F285" s="6">
        <v>100.9</v>
      </c>
      <c r="G285" s="6">
        <v>70.1333333333333</v>
      </c>
      <c r="H285" s="6" t="s">
        <v>9</v>
      </c>
    </row>
    <row r="286" ht="20.1" customHeight="1" spans="1:8">
      <c r="A286" s="5" t="str">
        <f t="shared" si="17"/>
        <v>221003</v>
      </c>
      <c r="B286" s="5" t="str">
        <f>"2022111014"</f>
        <v>2022111014</v>
      </c>
      <c r="C286" s="5" t="str">
        <f t="shared" si="18"/>
        <v>10</v>
      </c>
      <c r="D286" s="5" t="str">
        <f>"14"</f>
        <v>14</v>
      </c>
      <c r="E286" s="6">
        <v>118.5</v>
      </c>
      <c r="F286" s="6">
        <v>110.3</v>
      </c>
      <c r="G286" s="6">
        <v>76.2666666666667</v>
      </c>
      <c r="H286" s="6" t="s">
        <v>9</v>
      </c>
    </row>
    <row r="287" ht="20.1" customHeight="1" spans="1:8">
      <c r="A287" s="5" t="str">
        <f t="shared" si="17"/>
        <v>221003</v>
      </c>
      <c r="B287" s="5" t="str">
        <f>"2022111015"</f>
        <v>2022111015</v>
      </c>
      <c r="C287" s="5" t="str">
        <f t="shared" si="18"/>
        <v>10</v>
      </c>
      <c r="D287" s="5" t="str">
        <f>"15"</f>
        <v>15</v>
      </c>
      <c r="E287" s="6">
        <v>117</v>
      </c>
      <c r="F287" s="6">
        <v>108</v>
      </c>
      <c r="G287" s="6">
        <v>75</v>
      </c>
      <c r="H287" s="6" t="s">
        <v>9</v>
      </c>
    </row>
    <row r="288" ht="20.1" customHeight="1" spans="1:8">
      <c r="A288" s="5" t="str">
        <f t="shared" si="17"/>
        <v>221003</v>
      </c>
      <c r="B288" s="5" t="str">
        <f>"2022111016"</f>
        <v>2022111016</v>
      </c>
      <c r="C288" s="5" t="str">
        <f t="shared" si="18"/>
        <v>10</v>
      </c>
      <c r="D288" s="5" t="str">
        <f>"16"</f>
        <v>16</v>
      </c>
      <c r="E288" s="6">
        <v>106.5</v>
      </c>
      <c r="F288" s="6">
        <v>100.8</v>
      </c>
      <c r="G288" s="6">
        <v>69.1</v>
      </c>
      <c r="H288" s="6" t="s">
        <v>9</v>
      </c>
    </row>
    <row r="289" ht="20.1" customHeight="1" spans="1:8">
      <c r="A289" s="5" t="str">
        <f t="shared" si="17"/>
        <v>221003</v>
      </c>
      <c r="B289" s="5" t="str">
        <f>"2022111017"</f>
        <v>2022111017</v>
      </c>
      <c r="C289" s="5" t="str">
        <f t="shared" si="18"/>
        <v>10</v>
      </c>
      <c r="D289" s="5" t="str">
        <f>"17"</f>
        <v>17</v>
      </c>
      <c r="E289" s="6">
        <v>0</v>
      </c>
      <c r="F289" s="6">
        <v>0</v>
      </c>
      <c r="G289" s="6">
        <v>0</v>
      </c>
      <c r="H289" s="6" t="s">
        <v>10</v>
      </c>
    </row>
    <row r="290" ht="20.1" customHeight="1" spans="1:8">
      <c r="A290" s="5" t="str">
        <f t="shared" si="17"/>
        <v>221003</v>
      </c>
      <c r="B290" s="5" t="str">
        <f>"2022111018"</f>
        <v>2022111018</v>
      </c>
      <c r="C290" s="5" t="str">
        <f t="shared" si="18"/>
        <v>10</v>
      </c>
      <c r="D290" s="5" t="str">
        <f>"18"</f>
        <v>18</v>
      </c>
      <c r="E290" s="6">
        <v>103.5</v>
      </c>
      <c r="F290" s="6">
        <v>92.9</v>
      </c>
      <c r="G290" s="6">
        <v>65.4666666666667</v>
      </c>
      <c r="H290" s="6" t="s">
        <v>9</v>
      </c>
    </row>
    <row r="291" ht="20.1" customHeight="1" spans="1:8">
      <c r="A291" s="5" t="str">
        <f t="shared" si="17"/>
        <v>221003</v>
      </c>
      <c r="B291" s="5" t="str">
        <f>"2022111019"</f>
        <v>2022111019</v>
      </c>
      <c r="C291" s="5" t="str">
        <f t="shared" si="18"/>
        <v>10</v>
      </c>
      <c r="D291" s="5" t="str">
        <f>"19"</f>
        <v>19</v>
      </c>
      <c r="E291" s="6">
        <v>117</v>
      </c>
      <c r="F291" s="6">
        <v>100</v>
      </c>
      <c r="G291" s="6">
        <v>72.3333333333333</v>
      </c>
      <c r="H291" s="6" t="s">
        <v>9</v>
      </c>
    </row>
    <row r="292" ht="20.1" customHeight="1" spans="1:8">
      <c r="A292" s="5" t="str">
        <f t="shared" ref="A292:A324" si="19">"221004"</f>
        <v>221004</v>
      </c>
      <c r="B292" s="5" t="str">
        <f>"2022111020"</f>
        <v>2022111020</v>
      </c>
      <c r="C292" s="5" t="str">
        <f t="shared" si="18"/>
        <v>10</v>
      </c>
      <c r="D292" s="5" t="str">
        <f>"20"</f>
        <v>20</v>
      </c>
      <c r="E292" s="6">
        <v>0</v>
      </c>
      <c r="F292" s="6">
        <v>0</v>
      </c>
      <c r="G292" s="6">
        <v>0</v>
      </c>
      <c r="H292" s="6" t="s">
        <v>10</v>
      </c>
    </row>
    <row r="293" ht="20.1" customHeight="1" spans="1:8">
      <c r="A293" s="5" t="str">
        <f t="shared" si="19"/>
        <v>221004</v>
      </c>
      <c r="B293" s="5" t="str">
        <f>"2022111021"</f>
        <v>2022111021</v>
      </c>
      <c r="C293" s="5" t="str">
        <f t="shared" si="18"/>
        <v>10</v>
      </c>
      <c r="D293" s="5" t="str">
        <f>"21"</f>
        <v>21</v>
      </c>
      <c r="E293" s="6">
        <v>99</v>
      </c>
      <c r="F293" s="6">
        <v>85</v>
      </c>
      <c r="G293" s="6">
        <v>61.3333333333333</v>
      </c>
      <c r="H293" s="6" t="s">
        <v>9</v>
      </c>
    </row>
    <row r="294" ht="20.1" customHeight="1" spans="1:8">
      <c r="A294" s="5" t="str">
        <f t="shared" si="19"/>
        <v>221004</v>
      </c>
      <c r="B294" s="5" t="str">
        <f>"2022111022"</f>
        <v>2022111022</v>
      </c>
      <c r="C294" s="5" t="str">
        <f t="shared" si="18"/>
        <v>10</v>
      </c>
      <c r="D294" s="5" t="str">
        <f>"22"</f>
        <v>22</v>
      </c>
      <c r="E294" s="6">
        <v>118.5</v>
      </c>
      <c r="F294" s="6">
        <v>110.3</v>
      </c>
      <c r="G294" s="6">
        <v>76.2666666666667</v>
      </c>
      <c r="H294" s="7" t="s">
        <v>11</v>
      </c>
    </row>
    <row r="295" ht="20.1" customHeight="1" spans="1:8">
      <c r="A295" s="5" t="str">
        <f t="shared" si="19"/>
        <v>221004</v>
      </c>
      <c r="B295" s="5" t="str">
        <f>"2022111023"</f>
        <v>2022111023</v>
      </c>
      <c r="C295" s="5" t="str">
        <f t="shared" si="18"/>
        <v>10</v>
      </c>
      <c r="D295" s="5" t="str">
        <f>"23"</f>
        <v>23</v>
      </c>
      <c r="E295" s="6">
        <v>0</v>
      </c>
      <c r="F295" s="6">
        <v>0</v>
      </c>
      <c r="G295" s="6">
        <v>0</v>
      </c>
      <c r="H295" s="6" t="s">
        <v>10</v>
      </c>
    </row>
    <row r="296" ht="20.1" customHeight="1" spans="1:8">
      <c r="A296" s="5" t="str">
        <f t="shared" si="19"/>
        <v>221004</v>
      </c>
      <c r="B296" s="5" t="str">
        <f>"2022111024"</f>
        <v>2022111024</v>
      </c>
      <c r="C296" s="5" t="str">
        <f t="shared" si="18"/>
        <v>10</v>
      </c>
      <c r="D296" s="5" t="str">
        <f>"24"</f>
        <v>24</v>
      </c>
      <c r="E296" s="6">
        <v>0</v>
      </c>
      <c r="F296" s="6">
        <v>0</v>
      </c>
      <c r="G296" s="6">
        <v>0</v>
      </c>
      <c r="H296" s="6" t="s">
        <v>10</v>
      </c>
    </row>
    <row r="297" ht="20.1" customHeight="1" spans="1:8">
      <c r="A297" s="5" t="str">
        <f t="shared" si="19"/>
        <v>221004</v>
      </c>
      <c r="B297" s="5" t="str">
        <f>"2022111025"</f>
        <v>2022111025</v>
      </c>
      <c r="C297" s="5" t="str">
        <f t="shared" si="18"/>
        <v>10</v>
      </c>
      <c r="D297" s="5" t="str">
        <f>"25"</f>
        <v>25</v>
      </c>
      <c r="E297" s="6">
        <v>0</v>
      </c>
      <c r="F297" s="6">
        <v>0</v>
      </c>
      <c r="G297" s="6">
        <v>0</v>
      </c>
      <c r="H297" s="6" t="s">
        <v>10</v>
      </c>
    </row>
    <row r="298" ht="20.1" customHeight="1" spans="1:8">
      <c r="A298" s="5" t="str">
        <f t="shared" si="19"/>
        <v>221004</v>
      </c>
      <c r="B298" s="5" t="str">
        <f>"2022111026"</f>
        <v>2022111026</v>
      </c>
      <c r="C298" s="5" t="str">
        <f t="shared" si="18"/>
        <v>10</v>
      </c>
      <c r="D298" s="5" t="str">
        <f>"26"</f>
        <v>26</v>
      </c>
      <c r="E298" s="6">
        <v>0</v>
      </c>
      <c r="F298" s="6">
        <v>0</v>
      </c>
      <c r="G298" s="6">
        <v>0</v>
      </c>
      <c r="H298" s="6" t="s">
        <v>10</v>
      </c>
    </row>
    <row r="299" ht="20.1" customHeight="1" spans="1:8">
      <c r="A299" s="5" t="str">
        <f t="shared" si="19"/>
        <v>221004</v>
      </c>
      <c r="B299" s="5" t="str">
        <f>"2022111027"</f>
        <v>2022111027</v>
      </c>
      <c r="C299" s="5" t="str">
        <f t="shared" si="18"/>
        <v>10</v>
      </c>
      <c r="D299" s="5" t="str">
        <f>"27"</f>
        <v>27</v>
      </c>
      <c r="E299" s="6">
        <v>0</v>
      </c>
      <c r="F299" s="6">
        <v>0</v>
      </c>
      <c r="G299" s="6">
        <v>0</v>
      </c>
      <c r="H299" s="6" t="s">
        <v>10</v>
      </c>
    </row>
    <row r="300" ht="20.1" customHeight="1" spans="1:8">
      <c r="A300" s="5" t="str">
        <f t="shared" si="19"/>
        <v>221004</v>
      </c>
      <c r="B300" s="5" t="str">
        <f>"2022111028"</f>
        <v>2022111028</v>
      </c>
      <c r="C300" s="5" t="str">
        <f t="shared" si="18"/>
        <v>10</v>
      </c>
      <c r="D300" s="5" t="str">
        <f>"28"</f>
        <v>28</v>
      </c>
      <c r="E300" s="6">
        <v>0</v>
      </c>
      <c r="F300" s="6">
        <v>0</v>
      </c>
      <c r="G300" s="6">
        <v>0</v>
      </c>
      <c r="H300" s="6" t="s">
        <v>10</v>
      </c>
    </row>
    <row r="301" ht="20.1" customHeight="1" spans="1:8">
      <c r="A301" s="5" t="str">
        <f t="shared" si="19"/>
        <v>221004</v>
      </c>
      <c r="B301" s="5" t="str">
        <f>"2022111029"</f>
        <v>2022111029</v>
      </c>
      <c r="C301" s="5" t="str">
        <f t="shared" si="18"/>
        <v>10</v>
      </c>
      <c r="D301" s="5" t="str">
        <f>"29"</f>
        <v>29</v>
      </c>
      <c r="E301" s="6">
        <v>112.5</v>
      </c>
      <c r="F301" s="6">
        <v>97.9</v>
      </c>
      <c r="G301" s="6">
        <v>70.1333333333333</v>
      </c>
      <c r="H301" s="6" t="s">
        <v>9</v>
      </c>
    </row>
    <row r="302" ht="20.1" customHeight="1" spans="1:8">
      <c r="A302" s="5" t="str">
        <f t="shared" si="19"/>
        <v>221004</v>
      </c>
      <c r="B302" s="5" t="str">
        <f>"2022111030"</f>
        <v>2022111030</v>
      </c>
      <c r="C302" s="5" t="str">
        <f t="shared" si="18"/>
        <v>10</v>
      </c>
      <c r="D302" s="5" t="str">
        <f>"30"</f>
        <v>30</v>
      </c>
      <c r="E302" s="6">
        <v>126</v>
      </c>
      <c r="F302" s="6">
        <v>90.8</v>
      </c>
      <c r="G302" s="6">
        <v>72.2666666666667</v>
      </c>
      <c r="H302" s="6" t="s">
        <v>9</v>
      </c>
    </row>
    <row r="303" ht="20.1" customHeight="1" spans="1:8">
      <c r="A303" s="5" t="str">
        <f t="shared" si="19"/>
        <v>221004</v>
      </c>
      <c r="B303" s="5" t="str">
        <f>"2022111101"</f>
        <v>2022111101</v>
      </c>
      <c r="C303" s="5" t="str">
        <f t="shared" ref="C303:C332" si="20">"11"</f>
        <v>11</v>
      </c>
      <c r="D303" s="5" t="str">
        <f>"01"</f>
        <v>01</v>
      </c>
      <c r="E303" s="6">
        <v>0</v>
      </c>
      <c r="F303" s="6">
        <v>0</v>
      </c>
      <c r="G303" s="6">
        <v>0</v>
      </c>
      <c r="H303" s="6" t="s">
        <v>10</v>
      </c>
    </row>
    <row r="304" ht="20.1" customHeight="1" spans="1:8">
      <c r="A304" s="5" t="str">
        <f t="shared" si="19"/>
        <v>221004</v>
      </c>
      <c r="B304" s="5" t="str">
        <f>"2022111102"</f>
        <v>2022111102</v>
      </c>
      <c r="C304" s="5" t="str">
        <f t="shared" si="20"/>
        <v>11</v>
      </c>
      <c r="D304" s="5" t="str">
        <f>"02"</f>
        <v>02</v>
      </c>
      <c r="E304" s="6">
        <v>0</v>
      </c>
      <c r="F304" s="6">
        <v>0</v>
      </c>
      <c r="G304" s="6">
        <v>0</v>
      </c>
      <c r="H304" s="6" t="s">
        <v>10</v>
      </c>
    </row>
    <row r="305" ht="20.1" customHeight="1" spans="1:8">
      <c r="A305" s="5" t="str">
        <f t="shared" si="19"/>
        <v>221004</v>
      </c>
      <c r="B305" s="5" t="str">
        <f>"2022111103"</f>
        <v>2022111103</v>
      </c>
      <c r="C305" s="5" t="str">
        <f t="shared" si="20"/>
        <v>11</v>
      </c>
      <c r="D305" s="5" t="str">
        <f>"03"</f>
        <v>03</v>
      </c>
      <c r="E305" s="6">
        <v>109.5</v>
      </c>
      <c r="F305" s="6">
        <v>115.1</v>
      </c>
      <c r="G305" s="6">
        <v>74.8666666666667</v>
      </c>
      <c r="H305" s="6" t="s">
        <v>9</v>
      </c>
    </row>
    <row r="306" ht="20.1" customHeight="1" spans="1:8">
      <c r="A306" s="5" t="str">
        <f t="shared" si="19"/>
        <v>221004</v>
      </c>
      <c r="B306" s="5" t="str">
        <f>"2022111104"</f>
        <v>2022111104</v>
      </c>
      <c r="C306" s="5" t="str">
        <f t="shared" si="20"/>
        <v>11</v>
      </c>
      <c r="D306" s="5" t="str">
        <f>"04"</f>
        <v>04</v>
      </c>
      <c r="E306" s="6">
        <v>121.5</v>
      </c>
      <c r="F306" s="6">
        <v>112.7</v>
      </c>
      <c r="G306" s="6">
        <v>78.0666666666667</v>
      </c>
      <c r="H306" s="7" t="s">
        <v>11</v>
      </c>
    </row>
    <row r="307" ht="20.1" customHeight="1" spans="1:8">
      <c r="A307" s="5" t="str">
        <f t="shared" si="19"/>
        <v>221004</v>
      </c>
      <c r="B307" s="5" t="str">
        <f>"2022111105"</f>
        <v>2022111105</v>
      </c>
      <c r="C307" s="5" t="str">
        <f t="shared" si="20"/>
        <v>11</v>
      </c>
      <c r="D307" s="5" t="str">
        <f>"05"</f>
        <v>05</v>
      </c>
      <c r="E307" s="6">
        <v>94.5</v>
      </c>
      <c r="F307" s="6">
        <v>94.4</v>
      </c>
      <c r="G307" s="6">
        <v>62.9666666666667</v>
      </c>
      <c r="H307" s="6" t="s">
        <v>9</v>
      </c>
    </row>
    <row r="308" ht="20.1" customHeight="1" spans="1:8">
      <c r="A308" s="5" t="str">
        <f t="shared" si="19"/>
        <v>221004</v>
      </c>
      <c r="B308" s="5" t="str">
        <f>"2022111106"</f>
        <v>2022111106</v>
      </c>
      <c r="C308" s="5" t="str">
        <f t="shared" si="20"/>
        <v>11</v>
      </c>
      <c r="D308" s="5" t="str">
        <f>"06"</f>
        <v>06</v>
      </c>
      <c r="E308" s="6">
        <v>106.5</v>
      </c>
      <c r="F308" s="6">
        <v>116</v>
      </c>
      <c r="G308" s="6">
        <v>74.1666666666667</v>
      </c>
      <c r="H308" s="6" t="s">
        <v>9</v>
      </c>
    </row>
    <row r="309" ht="20.1" customHeight="1" spans="1:8">
      <c r="A309" s="5" t="str">
        <f t="shared" si="19"/>
        <v>221004</v>
      </c>
      <c r="B309" s="5" t="str">
        <f>"2022111107"</f>
        <v>2022111107</v>
      </c>
      <c r="C309" s="5" t="str">
        <f t="shared" si="20"/>
        <v>11</v>
      </c>
      <c r="D309" s="5" t="str">
        <f>"07"</f>
        <v>07</v>
      </c>
      <c r="E309" s="6">
        <v>106.5</v>
      </c>
      <c r="F309" s="6">
        <v>97.3</v>
      </c>
      <c r="G309" s="6">
        <v>67.9333333333333</v>
      </c>
      <c r="H309" s="6" t="s">
        <v>9</v>
      </c>
    </row>
    <row r="310" ht="20.1" customHeight="1" spans="1:8">
      <c r="A310" s="5" t="str">
        <f t="shared" si="19"/>
        <v>221004</v>
      </c>
      <c r="B310" s="5" t="str">
        <f>"2022111108"</f>
        <v>2022111108</v>
      </c>
      <c r="C310" s="5" t="str">
        <f t="shared" si="20"/>
        <v>11</v>
      </c>
      <c r="D310" s="5" t="str">
        <f>"08"</f>
        <v>08</v>
      </c>
      <c r="E310" s="6">
        <v>0</v>
      </c>
      <c r="F310" s="6">
        <v>0</v>
      </c>
      <c r="G310" s="6">
        <v>0</v>
      </c>
      <c r="H310" s="6" t="s">
        <v>10</v>
      </c>
    </row>
    <row r="311" ht="20.1" customHeight="1" spans="1:8">
      <c r="A311" s="5" t="str">
        <f t="shared" si="19"/>
        <v>221004</v>
      </c>
      <c r="B311" s="5" t="str">
        <f>"2022111109"</f>
        <v>2022111109</v>
      </c>
      <c r="C311" s="5" t="str">
        <f t="shared" si="20"/>
        <v>11</v>
      </c>
      <c r="D311" s="5" t="str">
        <f>"09"</f>
        <v>09</v>
      </c>
      <c r="E311" s="6">
        <v>109.5</v>
      </c>
      <c r="F311" s="6">
        <v>105.5</v>
      </c>
      <c r="G311" s="6">
        <v>71.6666666666667</v>
      </c>
      <c r="H311" s="6" t="s">
        <v>9</v>
      </c>
    </row>
    <row r="312" ht="20.1" customHeight="1" spans="1:8">
      <c r="A312" s="5" t="str">
        <f t="shared" si="19"/>
        <v>221004</v>
      </c>
      <c r="B312" s="5" t="str">
        <f>"2022111110"</f>
        <v>2022111110</v>
      </c>
      <c r="C312" s="5" t="str">
        <f t="shared" si="20"/>
        <v>11</v>
      </c>
      <c r="D312" s="5" t="str">
        <f>"10"</f>
        <v>10</v>
      </c>
      <c r="E312" s="6">
        <v>118.5</v>
      </c>
      <c r="F312" s="6">
        <v>106.2</v>
      </c>
      <c r="G312" s="6">
        <v>74.9</v>
      </c>
      <c r="H312" s="6" t="s">
        <v>9</v>
      </c>
    </row>
    <row r="313" ht="20.1" customHeight="1" spans="1:8">
      <c r="A313" s="5" t="str">
        <f t="shared" si="19"/>
        <v>221004</v>
      </c>
      <c r="B313" s="5" t="str">
        <f>"2022111111"</f>
        <v>2022111111</v>
      </c>
      <c r="C313" s="5" t="str">
        <f t="shared" si="20"/>
        <v>11</v>
      </c>
      <c r="D313" s="5" t="str">
        <f>"11"</f>
        <v>11</v>
      </c>
      <c r="E313" s="6">
        <v>106.5</v>
      </c>
      <c r="F313" s="6">
        <v>109.8</v>
      </c>
      <c r="G313" s="6">
        <v>72.1</v>
      </c>
      <c r="H313" s="6" t="s">
        <v>9</v>
      </c>
    </row>
    <row r="314" ht="20.1" customHeight="1" spans="1:8">
      <c r="A314" s="5" t="str">
        <f t="shared" si="19"/>
        <v>221004</v>
      </c>
      <c r="B314" s="5" t="str">
        <f>"2022111112"</f>
        <v>2022111112</v>
      </c>
      <c r="C314" s="5" t="str">
        <f t="shared" si="20"/>
        <v>11</v>
      </c>
      <c r="D314" s="5" t="str">
        <f>"12"</f>
        <v>12</v>
      </c>
      <c r="E314" s="6">
        <v>0</v>
      </c>
      <c r="F314" s="6">
        <v>0</v>
      </c>
      <c r="G314" s="6">
        <v>0</v>
      </c>
      <c r="H314" s="6" t="s">
        <v>10</v>
      </c>
    </row>
    <row r="315" ht="20.1" customHeight="1" spans="1:8">
      <c r="A315" s="5" t="str">
        <f t="shared" si="19"/>
        <v>221004</v>
      </c>
      <c r="B315" s="5" t="str">
        <f>"2022111113"</f>
        <v>2022111113</v>
      </c>
      <c r="C315" s="5" t="str">
        <f t="shared" si="20"/>
        <v>11</v>
      </c>
      <c r="D315" s="5" t="str">
        <f>"13"</f>
        <v>13</v>
      </c>
      <c r="E315" s="6">
        <v>0</v>
      </c>
      <c r="F315" s="6">
        <v>0</v>
      </c>
      <c r="G315" s="6">
        <v>0</v>
      </c>
      <c r="H315" s="6" t="s">
        <v>10</v>
      </c>
    </row>
    <row r="316" ht="20.1" customHeight="1" spans="1:8">
      <c r="A316" s="5" t="str">
        <f t="shared" si="19"/>
        <v>221004</v>
      </c>
      <c r="B316" s="5" t="str">
        <f>"2022111114"</f>
        <v>2022111114</v>
      </c>
      <c r="C316" s="5" t="str">
        <f t="shared" si="20"/>
        <v>11</v>
      </c>
      <c r="D316" s="5" t="str">
        <f>"14"</f>
        <v>14</v>
      </c>
      <c r="E316" s="6">
        <v>115.5</v>
      </c>
      <c r="F316" s="6">
        <v>107.4</v>
      </c>
      <c r="G316" s="6">
        <v>74.3</v>
      </c>
      <c r="H316" s="6" t="s">
        <v>9</v>
      </c>
    </row>
    <row r="317" ht="20.1" customHeight="1" spans="1:8">
      <c r="A317" s="5" t="str">
        <f t="shared" si="19"/>
        <v>221004</v>
      </c>
      <c r="B317" s="5" t="str">
        <f>"2022111115"</f>
        <v>2022111115</v>
      </c>
      <c r="C317" s="5" t="str">
        <f t="shared" si="20"/>
        <v>11</v>
      </c>
      <c r="D317" s="5" t="str">
        <f>"15"</f>
        <v>15</v>
      </c>
      <c r="E317" s="6">
        <v>108</v>
      </c>
      <c r="F317" s="6">
        <v>84.7</v>
      </c>
      <c r="G317" s="6">
        <v>64.2333333333333</v>
      </c>
      <c r="H317" s="6" t="s">
        <v>9</v>
      </c>
    </row>
    <row r="318" ht="20.1" customHeight="1" spans="1:8">
      <c r="A318" s="5" t="str">
        <f t="shared" si="19"/>
        <v>221004</v>
      </c>
      <c r="B318" s="5" t="str">
        <f>"2022111116"</f>
        <v>2022111116</v>
      </c>
      <c r="C318" s="5" t="str">
        <f t="shared" si="20"/>
        <v>11</v>
      </c>
      <c r="D318" s="5" t="str">
        <f>"16"</f>
        <v>16</v>
      </c>
      <c r="E318" s="6">
        <v>0</v>
      </c>
      <c r="F318" s="6">
        <v>0</v>
      </c>
      <c r="G318" s="6">
        <v>0</v>
      </c>
      <c r="H318" s="6" t="s">
        <v>10</v>
      </c>
    </row>
    <row r="319" ht="20.1" customHeight="1" spans="1:8">
      <c r="A319" s="5" t="str">
        <f t="shared" si="19"/>
        <v>221004</v>
      </c>
      <c r="B319" s="5" t="str">
        <f>"2022111117"</f>
        <v>2022111117</v>
      </c>
      <c r="C319" s="5" t="str">
        <f t="shared" si="20"/>
        <v>11</v>
      </c>
      <c r="D319" s="5" t="str">
        <f>"17"</f>
        <v>17</v>
      </c>
      <c r="E319" s="6">
        <v>120</v>
      </c>
      <c r="F319" s="6">
        <v>111.6</v>
      </c>
      <c r="G319" s="6">
        <v>77.2</v>
      </c>
      <c r="H319" s="7" t="s">
        <v>11</v>
      </c>
    </row>
    <row r="320" ht="20.1" customHeight="1" spans="1:8">
      <c r="A320" s="5" t="str">
        <f t="shared" si="19"/>
        <v>221004</v>
      </c>
      <c r="B320" s="5" t="str">
        <f>"2022111118"</f>
        <v>2022111118</v>
      </c>
      <c r="C320" s="5" t="str">
        <f t="shared" si="20"/>
        <v>11</v>
      </c>
      <c r="D320" s="5" t="str">
        <f>"18"</f>
        <v>18</v>
      </c>
      <c r="E320" s="6">
        <v>108</v>
      </c>
      <c r="F320" s="6">
        <v>109.2</v>
      </c>
      <c r="G320" s="6">
        <v>72.4</v>
      </c>
      <c r="H320" s="6" t="s">
        <v>9</v>
      </c>
    </row>
    <row r="321" ht="20.1" customHeight="1" spans="1:8">
      <c r="A321" s="5" t="str">
        <f t="shared" si="19"/>
        <v>221004</v>
      </c>
      <c r="B321" s="5" t="str">
        <f>"2022111119"</f>
        <v>2022111119</v>
      </c>
      <c r="C321" s="5" t="str">
        <f t="shared" si="20"/>
        <v>11</v>
      </c>
      <c r="D321" s="5" t="str">
        <f>"19"</f>
        <v>19</v>
      </c>
      <c r="E321" s="6">
        <v>115.5</v>
      </c>
      <c r="F321" s="6">
        <v>111.4</v>
      </c>
      <c r="G321" s="6">
        <v>75.6333333333333</v>
      </c>
      <c r="H321" s="6" t="s">
        <v>9</v>
      </c>
    </row>
    <row r="322" ht="20.1" customHeight="1" spans="1:8">
      <c r="A322" s="5" t="str">
        <f t="shared" si="19"/>
        <v>221004</v>
      </c>
      <c r="B322" s="5" t="str">
        <f>"2022111120"</f>
        <v>2022111120</v>
      </c>
      <c r="C322" s="5" t="str">
        <f t="shared" si="20"/>
        <v>11</v>
      </c>
      <c r="D322" s="5" t="str">
        <f>"20"</f>
        <v>20</v>
      </c>
      <c r="E322" s="6">
        <v>0</v>
      </c>
      <c r="F322" s="6">
        <v>0</v>
      </c>
      <c r="G322" s="6">
        <v>0</v>
      </c>
      <c r="H322" s="6" t="s">
        <v>10</v>
      </c>
    </row>
    <row r="323" ht="20.1" customHeight="1" spans="1:8">
      <c r="A323" s="5" t="str">
        <f t="shared" si="19"/>
        <v>221004</v>
      </c>
      <c r="B323" s="5" t="str">
        <f>"2022111121"</f>
        <v>2022111121</v>
      </c>
      <c r="C323" s="5" t="str">
        <f t="shared" si="20"/>
        <v>11</v>
      </c>
      <c r="D323" s="5" t="str">
        <f>"21"</f>
        <v>21</v>
      </c>
      <c r="E323" s="6">
        <v>0</v>
      </c>
      <c r="F323" s="6">
        <v>0</v>
      </c>
      <c r="G323" s="6">
        <v>0</v>
      </c>
      <c r="H323" s="6" t="s">
        <v>10</v>
      </c>
    </row>
    <row r="324" ht="20.1" customHeight="1" spans="1:8">
      <c r="A324" s="5" t="str">
        <f t="shared" si="19"/>
        <v>221004</v>
      </c>
      <c r="B324" s="5" t="str">
        <f>"2022111122"</f>
        <v>2022111122</v>
      </c>
      <c r="C324" s="5" t="str">
        <f t="shared" si="20"/>
        <v>11</v>
      </c>
      <c r="D324" s="5" t="str">
        <f>"22"</f>
        <v>22</v>
      </c>
      <c r="E324" s="6">
        <v>99</v>
      </c>
      <c r="F324" s="6">
        <v>98</v>
      </c>
      <c r="G324" s="6">
        <v>65.6666666666667</v>
      </c>
      <c r="H324" s="6" t="s">
        <v>9</v>
      </c>
    </row>
    <row r="325" ht="20.1" customHeight="1" spans="1:8">
      <c r="A325" s="5" t="str">
        <f t="shared" ref="A325:A356" si="21">"221005"</f>
        <v>221005</v>
      </c>
      <c r="B325" s="5" t="str">
        <f>"2022111123"</f>
        <v>2022111123</v>
      </c>
      <c r="C325" s="5" t="str">
        <f t="shared" si="20"/>
        <v>11</v>
      </c>
      <c r="D325" s="5" t="str">
        <f>"23"</f>
        <v>23</v>
      </c>
      <c r="E325" s="6">
        <v>0</v>
      </c>
      <c r="F325" s="6">
        <v>0</v>
      </c>
      <c r="G325" s="6">
        <v>0</v>
      </c>
      <c r="H325" s="6" t="s">
        <v>10</v>
      </c>
    </row>
    <row r="326" ht="20.1" customHeight="1" spans="1:8">
      <c r="A326" s="5" t="str">
        <f t="shared" si="21"/>
        <v>221005</v>
      </c>
      <c r="B326" s="5" t="str">
        <f>"2022111124"</f>
        <v>2022111124</v>
      </c>
      <c r="C326" s="5" t="str">
        <f t="shared" si="20"/>
        <v>11</v>
      </c>
      <c r="D326" s="5" t="str">
        <f>"24"</f>
        <v>24</v>
      </c>
      <c r="E326" s="6">
        <v>108</v>
      </c>
      <c r="F326" s="6">
        <v>118.7</v>
      </c>
      <c r="G326" s="6">
        <v>75.5666666666667</v>
      </c>
      <c r="H326" s="6" t="s">
        <v>9</v>
      </c>
    </row>
    <row r="327" ht="20.1" customHeight="1" spans="1:8">
      <c r="A327" s="5" t="str">
        <f t="shared" si="21"/>
        <v>221005</v>
      </c>
      <c r="B327" s="5" t="str">
        <f>"2022111125"</f>
        <v>2022111125</v>
      </c>
      <c r="C327" s="5" t="str">
        <f t="shared" si="20"/>
        <v>11</v>
      </c>
      <c r="D327" s="5" t="str">
        <f>"25"</f>
        <v>25</v>
      </c>
      <c r="E327" s="6">
        <v>120</v>
      </c>
      <c r="F327" s="6">
        <v>114.5</v>
      </c>
      <c r="G327" s="6">
        <v>78.1666666666667</v>
      </c>
      <c r="H327" s="6" t="s">
        <v>9</v>
      </c>
    </row>
    <row r="328" ht="20.1" customHeight="1" spans="1:8">
      <c r="A328" s="5" t="str">
        <f t="shared" si="21"/>
        <v>221005</v>
      </c>
      <c r="B328" s="5" t="str">
        <f>"2022111126"</f>
        <v>2022111126</v>
      </c>
      <c r="C328" s="5" t="str">
        <f t="shared" si="20"/>
        <v>11</v>
      </c>
      <c r="D328" s="5" t="str">
        <f>"26"</f>
        <v>26</v>
      </c>
      <c r="E328" s="6">
        <v>0</v>
      </c>
      <c r="F328" s="6">
        <v>0</v>
      </c>
      <c r="G328" s="6">
        <v>0</v>
      </c>
      <c r="H328" s="6" t="s">
        <v>10</v>
      </c>
    </row>
    <row r="329" ht="20.1" customHeight="1" spans="1:8">
      <c r="A329" s="5" t="str">
        <f t="shared" si="21"/>
        <v>221005</v>
      </c>
      <c r="B329" s="5" t="str">
        <f>"2022111127"</f>
        <v>2022111127</v>
      </c>
      <c r="C329" s="5" t="str">
        <f t="shared" si="20"/>
        <v>11</v>
      </c>
      <c r="D329" s="5" t="str">
        <f>"27"</f>
        <v>27</v>
      </c>
      <c r="E329" s="6">
        <v>0</v>
      </c>
      <c r="F329" s="6">
        <v>0</v>
      </c>
      <c r="G329" s="6">
        <v>0</v>
      </c>
      <c r="H329" s="6" t="s">
        <v>10</v>
      </c>
    </row>
    <row r="330" ht="20.1" customHeight="1" spans="1:8">
      <c r="A330" s="5" t="str">
        <f t="shared" si="21"/>
        <v>221005</v>
      </c>
      <c r="B330" s="5" t="str">
        <f>"2022111128"</f>
        <v>2022111128</v>
      </c>
      <c r="C330" s="5" t="str">
        <f t="shared" si="20"/>
        <v>11</v>
      </c>
      <c r="D330" s="5" t="str">
        <f>"28"</f>
        <v>28</v>
      </c>
      <c r="E330" s="6">
        <v>117</v>
      </c>
      <c r="F330" s="6">
        <v>102</v>
      </c>
      <c r="G330" s="6">
        <v>73</v>
      </c>
      <c r="H330" s="6" t="s">
        <v>9</v>
      </c>
    </row>
    <row r="331" ht="20.1" customHeight="1" spans="1:8">
      <c r="A331" s="5" t="str">
        <f t="shared" si="21"/>
        <v>221005</v>
      </c>
      <c r="B331" s="5" t="str">
        <f>"2022111129"</f>
        <v>2022111129</v>
      </c>
      <c r="C331" s="5" t="str">
        <f t="shared" si="20"/>
        <v>11</v>
      </c>
      <c r="D331" s="5" t="str">
        <f>"29"</f>
        <v>29</v>
      </c>
      <c r="E331" s="6">
        <v>0</v>
      </c>
      <c r="F331" s="6">
        <v>0</v>
      </c>
      <c r="G331" s="6">
        <v>0</v>
      </c>
      <c r="H331" s="6" t="s">
        <v>10</v>
      </c>
    </row>
    <row r="332" ht="20.1" customHeight="1" spans="1:8">
      <c r="A332" s="5" t="str">
        <f t="shared" si="21"/>
        <v>221005</v>
      </c>
      <c r="B332" s="5" t="str">
        <f>"2022111130"</f>
        <v>2022111130</v>
      </c>
      <c r="C332" s="5" t="str">
        <f t="shared" si="20"/>
        <v>11</v>
      </c>
      <c r="D332" s="5" t="str">
        <f>"30"</f>
        <v>30</v>
      </c>
      <c r="E332" s="6">
        <v>103.5</v>
      </c>
      <c r="F332" s="6">
        <v>92.5</v>
      </c>
      <c r="G332" s="6">
        <v>65.3333333333333</v>
      </c>
      <c r="H332" s="6" t="s">
        <v>9</v>
      </c>
    </row>
    <row r="333" ht="20.1" customHeight="1" spans="1:8">
      <c r="A333" s="5" t="str">
        <f t="shared" si="21"/>
        <v>221005</v>
      </c>
      <c r="B333" s="5" t="str">
        <f>"2022111201"</f>
        <v>2022111201</v>
      </c>
      <c r="C333" s="5" t="str">
        <f t="shared" ref="C333:C362" si="22">"12"</f>
        <v>12</v>
      </c>
      <c r="D333" s="5" t="str">
        <f>"01"</f>
        <v>01</v>
      </c>
      <c r="E333" s="6">
        <v>118.5</v>
      </c>
      <c r="F333" s="6">
        <v>108.2</v>
      </c>
      <c r="G333" s="6">
        <v>75.5666666666667</v>
      </c>
      <c r="H333" s="6" t="s">
        <v>9</v>
      </c>
    </row>
    <row r="334" ht="20.1" customHeight="1" spans="1:8">
      <c r="A334" s="5" t="str">
        <f t="shared" si="21"/>
        <v>221005</v>
      </c>
      <c r="B334" s="5" t="str">
        <f>"2022111202"</f>
        <v>2022111202</v>
      </c>
      <c r="C334" s="5" t="str">
        <f t="shared" si="22"/>
        <v>12</v>
      </c>
      <c r="D334" s="5" t="str">
        <f>"02"</f>
        <v>02</v>
      </c>
      <c r="E334" s="6">
        <v>123</v>
      </c>
      <c r="F334" s="6">
        <v>117.1</v>
      </c>
      <c r="G334" s="6">
        <v>80.0333333333333</v>
      </c>
      <c r="H334" s="7" t="s">
        <v>11</v>
      </c>
    </row>
    <row r="335" ht="20.1" customHeight="1" spans="1:8">
      <c r="A335" s="5" t="str">
        <f t="shared" si="21"/>
        <v>221005</v>
      </c>
      <c r="B335" s="5" t="str">
        <f>"2022111203"</f>
        <v>2022111203</v>
      </c>
      <c r="C335" s="5" t="str">
        <f t="shared" si="22"/>
        <v>12</v>
      </c>
      <c r="D335" s="5" t="str">
        <f>"03"</f>
        <v>03</v>
      </c>
      <c r="E335" s="6">
        <v>111</v>
      </c>
      <c r="F335" s="6">
        <v>97.2</v>
      </c>
      <c r="G335" s="6">
        <v>69.4</v>
      </c>
      <c r="H335" s="6" t="s">
        <v>9</v>
      </c>
    </row>
    <row r="336" ht="20.1" customHeight="1" spans="1:8">
      <c r="A336" s="5" t="str">
        <f t="shared" si="21"/>
        <v>221005</v>
      </c>
      <c r="B336" s="5" t="str">
        <f>"2022111204"</f>
        <v>2022111204</v>
      </c>
      <c r="C336" s="5" t="str">
        <f t="shared" si="22"/>
        <v>12</v>
      </c>
      <c r="D336" s="5" t="str">
        <f>"04"</f>
        <v>04</v>
      </c>
      <c r="E336" s="6">
        <v>121.5</v>
      </c>
      <c r="F336" s="6">
        <v>110.2</v>
      </c>
      <c r="G336" s="6">
        <v>77.2333333333333</v>
      </c>
      <c r="H336" s="6" t="s">
        <v>9</v>
      </c>
    </row>
    <row r="337" ht="20.1" customHeight="1" spans="1:8">
      <c r="A337" s="5" t="str">
        <f t="shared" si="21"/>
        <v>221005</v>
      </c>
      <c r="B337" s="5" t="str">
        <f>"2022111205"</f>
        <v>2022111205</v>
      </c>
      <c r="C337" s="5" t="str">
        <f t="shared" si="22"/>
        <v>12</v>
      </c>
      <c r="D337" s="5" t="str">
        <f>"05"</f>
        <v>05</v>
      </c>
      <c r="E337" s="6">
        <v>0</v>
      </c>
      <c r="F337" s="6">
        <v>0</v>
      </c>
      <c r="G337" s="6">
        <v>0</v>
      </c>
      <c r="H337" s="6" t="s">
        <v>10</v>
      </c>
    </row>
    <row r="338" ht="20.1" customHeight="1" spans="1:8">
      <c r="A338" s="5" t="str">
        <f t="shared" si="21"/>
        <v>221005</v>
      </c>
      <c r="B338" s="5" t="str">
        <f>"2022111206"</f>
        <v>2022111206</v>
      </c>
      <c r="C338" s="5" t="str">
        <f t="shared" si="22"/>
        <v>12</v>
      </c>
      <c r="D338" s="5" t="str">
        <f>"06"</f>
        <v>06</v>
      </c>
      <c r="E338" s="6">
        <v>0</v>
      </c>
      <c r="F338" s="6">
        <v>0</v>
      </c>
      <c r="G338" s="6">
        <v>0</v>
      </c>
      <c r="H338" s="6" t="s">
        <v>10</v>
      </c>
    </row>
    <row r="339" ht="20.1" customHeight="1" spans="1:8">
      <c r="A339" s="5" t="str">
        <f t="shared" si="21"/>
        <v>221005</v>
      </c>
      <c r="B339" s="5" t="str">
        <f>"2022111207"</f>
        <v>2022111207</v>
      </c>
      <c r="C339" s="5" t="str">
        <f t="shared" si="22"/>
        <v>12</v>
      </c>
      <c r="D339" s="5" t="str">
        <f>"07"</f>
        <v>07</v>
      </c>
      <c r="E339" s="6">
        <v>0</v>
      </c>
      <c r="F339" s="6">
        <v>0</v>
      </c>
      <c r="G339" s="6">
        <v>0</v>
      </c>
      <c r="H339" s="6" t="s">
        <v>10</v>
      </c>
    </row>
    <row r="340" ht="20.1" customHeight="1" spans="1:8">
      <c r="A340" s="5" t="str">
        <f t="shared" si="21"/>
        <v>221005</v>
      </c>
      <c r="B340" s="5" t="str">
        <f>"2022111208"</f>
        <v>2022111208</v>
      </c>
      <c r="C340" s="5" t="str">
        <f t="shared" si="22"/>
        <v>12</v>
      </c>
      <c r="D340" s="5" t="str">
        <f>"08"</f>
        <v>08</v>
      </c>
      <c r="E340" s="6">
        <v>105</v>
      </c>
      <c r="F340" s="6">
        <v>86.9</v>
      </c>
      <c r="G340" s="6">
        <v>63.9666666666667</v>
      </c>
      <c r="H340" s="6" t="s">
        <v>9</v>
      </c>
    </row>
    <row r="341" ht="20.1" customHeight="1" spans="1:8">
      <c r="A341" s="5" t="str">
        <f t="shared" si="21"/>
        <v>221005</v>
      </c>
      <c r="B341" s="5" t="str">
        <f>"2022111209"</f>
        <v>2022111209</v>
      </c>
      <c r="C341" s="5" t="str">
        <f t="shared" si="22"/>
        <v>12</v>
      </c>
      <c r="D341" s="5" t="str">
        <f>"09"</f>
        <v>09</v>
      </c>
      <c r="E341" s="6">
        <v>0</v>
      </c>
      <c r="F341" s="6">
        <v>0</v>
      </c>
      <c r="G341" s="6">
        <v>0</v>
      </c>
      <c r="H341" s="6" t="s">
        <v>10</v>
      </c>
    </row>
    <row r="342" ht="20.1" customHeight="1" spans="1:8">
      <c r="A342" s="5" t="str">
        <f t="shared" si="21"/>
        <v>221005</v>
      </c>
      <c r="B342" s="5" t="str">
        <f>"2022111210"</f>
        <v>2022111210</v>
      </c>
      <c r="C342" s="5" t="str">
        <f t="shared" si="22"/>
        <v>12</v>
      </c>
      <c r="D342" s="5" t="str">
        <f>"10"</f>
        <v>10</v>
      </c>
      <c r="E342" s="6">
        <v>0</v>
      </c>
      <c r="F342" s="6">
        <v>0</v>
      </c>
      <c r="G342" s="6">
        <v>0</v>
      </c>
      <c r="H342" s="6" t="s">
        <v>10</v>
      </c>
    </row>
    <row r="343" ht="20.1" customHeight="1" spans="1:8">
      <c r="A343" s="5" t="str">
        <f t="shared" si="21"/>
        <v>221005</v>
      </c>
      <c r="B343" s="5" t="str">
        <f>"2022111211"</f>
        <v>2022111211</v>
      </c>
      <c r="C343" s="5" t="str">
        <f t="shared" si="22"/>
        <v>12</v>
      </c>
      <c r="D343" s="5" t="str">
        <f>"11"</f>
        <v>11</v>
      </c>
      <c r="E343" s="6">
        <v>0</v>
      </c>
      <c r="F343" s="6">
        <v>0</v>
      </c>
      <c r="G343" s="6">
        <v>0</v>
      </c>
      <c r="H343" s="6" t="s">
        <v>10</v>
      </c>
    </row>
    <row r="344" ht="20.1" customHeight="1" spans="1:8">
      <c r="A344" s="5" t="str">
        <f t="shared" si="21"/>
        <v>221005</v>
      </c>
      <c r="B344" s="5" t="str">
        <f>"2022111212"</f>
        <v>2022111212</v>
      </c>
      <c r="C344" s="5" t="str">
        <f t="shared" si="22"/>
        <v>12</v>
      </c>
      <c r="D344" s="5" t="str">
        <f>"12"</f>
        <v>12</v>
      </c>
      <c r="E344" s="6">
        <v>108</v>
      </c>
      <c r="F344" s="6">
        <v>112.3</v>
      </c>
      <c r="G344" s="6">
        <v>73.4333333333333</v>
      </c>
      <c r="H344" s="6" t="s">
        <v>9</v>
      </c>
    </row>
    <row r="345" ht="20.1" customHeight="1" spans="1:8">
      <c r="A345" s="5" t="str">
        <f t="shared" si="21"/>
        <v>221005</v>
      </c>
      <c r="B345" s="5" t="str">
        <f>"2022111213"</f>
        <v>2022111213</v>
      </c>
      <c r="C345" s="5" t="str">
        <f t="shared" si="22"/>
        <v>12</v>
      </c>
      <c r="D345" s="5" t="str">
        <f>"13"</f>
        <v>13</v>
      </c>
      <c r="E345" s="6">
        <v>0</v>
      </c>
      <c r="F345" s="6">
        <v>0</v>
      </c>
      <c r="G345" s="6">
        <v>0</v>
      </c>
      <c r="H345" s="6" t="s">
        <v>10</v>
      </c>
    </row>
    <row r="346" ht="20.1" customHeight="1" spans="1:8">
      <c r="A346" s="5" t="str">
        <f t="shared" si="21"/>
        <v>221005</v>
      </c>
      <c r="B346" s="5" t="str">
        <f>"2022111214"</f>
        <v>2022111214</v>
      </c>
      <c r="C346" s="5" t="str">
        <f t="shared" si="22"/>
        <v>12</v>
      </c>
      <c r="D346" s="5" t="str">
        <f>"14"</f>
        <v>14</v>
      </c>
      <c r="E346" s="6">
        <v>121.5</v>
      </c>
      <c r="F346" s="6">
        <v>108.6</v>
      </c>
      <c r="G346" s="6">
        <v>76.7</v>
      </c>
      <c r="H346" s="6" t="s">
        <v>9</v>
      </c>
    </row>
    <row r="347" ht="20.1" customHeight="1" spans="1:8">
      <c r="A347" s="5" t="str">
        <f t="shared" si="21"/>
        <v>221005</v>
      </c>
      <c r="B347" s="5" t="str">
        <f>"2022111215"</f>
        <v>2022111215</v>
      </c>
      <c r="C347" s="5" t="str">
        <f t="shared" si="22"/>
        <v>12</v>
      </c>
      <c r="D347" s="5" t="str">
        <f>"15"</f>
        <v>15</v>
      </c>
      <c r="E347" s="6">
        <v>106.5</v>
      </c>
      <c r="F347" s="6">
        <v>111.5</v>
      </c>
      <c r="G347" s="6">
        <v>72.6666666666667</v>
      </c>
      <c r="H347" s="6" t="s">
        <v>9</v>
      </c>
    </row>
    <row r="348" ht="20.1" customHeight="1" spans="1:8">
      <c r="A348" s="5" t="str">
        <f t="shared" si="21"/>
        <v>221005</v>
      </c>
      <c r="B348" s="5" t="str">
        <f>"2022111216"</f>
        <v>2022111216</v>
      </c>
      <c r="C348" s="5" t="str">
        <f t="shared" si="22"/>
        <v>12</v>
      </c>
      <c r="D348" s="5" t="str">
        <f>"16"</f>
        <v>16</v>
      </c>
      <c r="E348" s="6">
        <v>0</v>
      </c>
      <c r="F348" s="6">
        <v>0</v>
      </c>
      <c r="G348" s="6">
        <v>0</v>
      </c>
      <c r="H348" s="6" t="s">
        <v>10</v>
      </c>
    </row>
    <row r="349" ht="20.1" customHeight="1" spans="1:8">
      <c r="A349" s="5" t="str">
        <f t="shared" si="21"/>
        <v>221005</v>
      </c>
      <c r="B349" s="5" t="str">
        <f>"2022111217"</f>
        <v>2022111217</v>
      </c>
      <c r="C349" s="5" t="str">
        <f t="shared" si="22"/>
        <v>12</v>
      </c>
      <c r="D349" s="5" t="str">
        <f>"17"</f>
        <v>17</v>
      </c>
      <c r="E349" s="6">
        <v>0</v>
      </c>
      <c r="F349" s="6">
        <v>0</v>
      </c>
      <c r="G349" s="6">
        <v>0</v>
      </c>
      <c r="H349" s="6" t="s">
        <v>10</v>
      </c>
    </row>
    <row r="350" ht="20.1" customHeight="1" spans="1:8">
      <c r="A350" s="5" t="str">
        <f t="shared" si="21"/>
        <v>221005</v>
      </c>
      <c r="B350" s="5" t="str">
        <f>"2022111218"</f>
        <v>2022111218</v>
      </c>
      <c r="C350" s="5" t="str">
        <f t="shared" si="22"/>
        <v>12</v>
      </c>
      <c r="D350" s="5" t="str">
        <f>"18"</f>
        <v>18</v>
      </c>
      <c r="E350" s="6">
        <v>118.5</v>
      </c>
      <c r="F350" s="6">
        <v>104.3</v>
      </c>
      <c r="G350" s="6">
        <v>74.2666666666667</v>
      </c>
      <c r="H350" s="6" t="s">
        <v>9</v>
      </c>
    </row>
    <row r="351" ht="20.1" customHeight="1" spans="1:8">
      <c r="A351" s="5" t="str">
        <f t="shared" si="21"/>
        <v>221005</v>
      </c>
      <c r="B351" s="5" t="str">
        <f>"2022111219"</f>
        <v>2022111219</v>
      </c>
      <c r="C351" s="5" t="str">
        <f t="shared" si="22"/>
        <v>12</v>
      </c>
      <c r="D351" s="5" t="str">
        <f>"19"</f>
        <v>19</v>
      </c>
      <c r="E351" s="6">
        <v>112.5</v>
      </c>
      <c r="F351" s="6">
        <v>114.1</v>
      </c>
      <c r="G351" s="6">
        <v>75.5333333333333</v>
      </c>
      <c r="H351" s="6" t="s">
        <v>9</v>
      </c>
    </row>
    <row r="352" ht="20.1" customHeight="1" spans="1:8">
      <c r="A352" s="5" t="str">
        <f t="shared" si="21"/>
        <v>221005</v>
      </c>
      <c r="B352" s="5" t="str">
        <f>"2022111220"</f>
        <v>2022111220</v>
      </c>
      <c r="C352" s="5" t="str">
        <f t="shared" si="22"/>
        <v>12</v>
      </c>
      <c r="D352" s="5" t="str">
        <f>"20"</f>
        <v>20</v>
      </c>
      <c r="E352" s="6">
        <v>115.5</v>
      </c>
      <c r="F352" s="6">
        <v>96.8</v>
      </c>
      <c r="G352" s="6">
        <v>70.7666666666667</v>
      </c>
      <c r="H352" s="6" t="s">
        <v>9</v>
      </c>
    </row>
    <row r="353" ht="20.1" customHeight="1" spans="1:8">
      <c r="A353" s="5" t="str">
        <f t="shared" si="21"/>
        <v>221005</v>
      </c>
      <c r="B353" s="5" t="str">
        <f>"2022111221"</f>
        <v>2022111221</v>
      </c>
      <c r="C353" s="5" t="str">
        <f t="shared" si="22"/>
        <v>12</v>
      </c>
      <c r="D353" s="5" t="str">
        <f>"21"</f>
        <v>21</v>
      </c>
      <c r="E353" s="6">
        <v>100.5</v>
      </c>
      <c r="F353" s="6">
        <v>114.1</v>
      </c>
      <c r="G353" s="6">
        <v>71.5333333333333</v>
      </c>
      <c r="H353" s="6" t="s">
        <v>9</v>
      </c>
    </row>
    <row r="354" ht="20.1" customHeight="1" spans="1:8">
      <c r="A354" s="5" t="str">
        <f t="shared" si="21"/>
        <v>221005</v>
      </c>
      <c r="B354" s="5" t="str">
        <f>"2022111222"</f>
        <v>2022111222</v>
      </c>
      <c r="C354" s="5" t="str">
        <f t="shared" si="22"/>
        <v>12</v>
      </c>
      <c r="D354" s="5" t="str">
        <f>"22"</f>
        <v>22</v>
      </c>
      <c r="E354" s="6">
        <v>96</v>
      </c>
      <c r="F354" s="6">
        <v>115.8</v>
      </c>
      <c r="G354" s="6">
        <v>70.6</v>
      </c>
      <c r="H354" s="6" t="s">
        <v>9</v>
      </c>
    </row>
    <row r="355" ht="20.1" customHeight="1" spans="1:8">
      <c r="A355" s="5" t="str">
        <f t="shared" si="21"/>
        <v>221005</v>
      </c>
      <c r="B355" s="5" t="str">
        <f>"2022111223"</f>
        <v>2022111223</v>
      </c>
      <c r="C355" s="5" t="str">
        <f t="shared" si="22"/>
        <v>12</v>
      </c>
      <c r="D355" s="5" t="str">
        <f>"23"</f>
        <v>23</v>
      </c>
      <c r="E355" s="6">
        <v>0</v>
      </c>
      <c r="F355" s="6">
        <v>0</v>
      </c>
      <c r="G355" s="6">
        <v>0</v>
      </c>
      <c r="H355" s="6" t="s">
        <v>10</v>
      </c>
    </row>
    <row r="356" ht="20.1" customHeight="1" spans="1:8">
      <c r="A356" s="5" t="str">
        <f t="shared" si="21"/>
        <v>221005</v>
      </c>
      <c r="B356" s="5" t="str">
        <f>"2022111224"</f>
        <v>2022111224</v>
      </c>
      <c r="C356" s="5" t="str">
        <f t="shared" si="22"/>
        <v>12</v>
      </c>
      <c r="D356" s="5" t="str">
        <f>"24"</f>
        <v>24</v>
      </c>
      <c r="E356" s="6">
        <v>0</v>
      </c>
      <c r="F356" s="6">
        <v>0</v>
      </c>
      <c r="G356" s="6">
        <v>0</v>
      </c>
      <c r="H356" s="6" t="s">
        <v>10</v>
      </c>
    </row>
    <row r="357" ht="20.1" customHeight="1" spans="1:8">
      <c r="A357" s="5" t="str">
        <f t="shared" ref="A357:A388" si="23">"221005"</f>
        <v>221005</v>
      </c>
      <c r="B357" s="5" t="str">
        <f>"2022111225"</f>
        <v>2022111225</v>
      </c>
      <c r="C357" s="5" t="str">
        <f t="shared" si="22"/>
        <v>12</v>
      </c>
      <c r="D357" s="5" t="str">
        <f>"25"</f>
        <v>25</v>
      </c>
      <c r="E357" s="6">
        <v>117</v>
      </c>
      <c r="F357" s="6">
        <v>114.6</v>
      </c>
      <c r="G357" s="6">
        <v>77.2</v>
      </c>
      <c r="H357" s="6" t="s">
        <v>9</v>
      </c>
    </row>
    <row r="358" ht="20.1" customHeight="1" spans="1:8">
      <c r="A358" s="5" t="str">
        <f t="shared" si="23"/>
        <v>221005</v>
      </c>
      <c r="B358" s="5" t="str">
        <f>"2022111226"</f>
        <v>2022111226</v>
      </c>
      <c r="C358" s="5" t="str">
        <f t="shared" si="22"/>
        <v>12</v>
      </c>
      <c r="D358" s="5" t="str">
        <f>"26"</f>
        <v>26</v>
      </c>
      <c r="E358" s="6">
        <v>0</v>
      </c>
      <c r="F358" s="6">
        <v>0</v>
      </c>
      <c r="G358" s="6">
        <v>0</v>
      </c>
      <c r="H358" s="6" t="s">
        <v>10</v>
      </c>
    </row>
    <row r="359" ht="20.1" customHeight="1" spans="1:8">
      <c r="A359" s="5" t="str">
        <f t="shared" si="23"/>
        <v>221005</v>
      </c>
      <c r="B359" s="5" t="str">
        <f>"2022111227"</f>
        <v>2022111227</v>
      </c>
      <c r="C359" s="5" t="str">
        <f t="shared" si="22"/>
        <v>12</v>
      </c>
      <c r="D359" s="5" t="str">
        <f>"27"</f>
        <v>27</v>
      </c>
      <c r="E359" s="6">
        <v>99</v>
      </c>
      <c r="F359" s="6">
        <v>114.4</v>
      </c>
      <c r="G359" s="6">
        <v>71.1333333333333</v>
      </c>
      <c r="H359" s="6" t="s">
        <v>9</v>
      </c>
    </row>
    <row r="360" ht="20.1" customHeight="1" spans="1:8">
      <c r="A360" s="5" t="str">
        <f t="shared" si="23"/>
        <v>221005</v>
      </c>
      <c r="B360" s="5" t="str">
        <f>"2022111228"</f>
        <v>2022111228</v>
      </c>
      <c r="C360" s="5" t="str">
        <f t="shared" si="22"/>
        <v>12</v>
      </c>
      <c r="D360" s="5" t="str">
        <f>"28"</f>
        <v>28</v>
      </c>
      <c r="E360" s="6">
        <v>0</v>
      </c>
      <c r="F360" s="6">
        <v>0</v>
      </c>
      <c r="G360" s="6">
        <v>0</v>
      </c>
      <c r="H360" s="6" t="s">
        <v>10</v>
      </c>
    </row>
    <row r="361" ht="20.1" customHeight="1" spans="1:8">
      <c r="A361" s="5" t="str">
        <f t="shared" si="23"/>
        <v>221005</v>
      </c>
      <c r="B361" s="5" t="str">
        <f>"2022111229"</f>
        <v>2022111229</v>
      </c>
      <c r="C361" s="5" t="str">
        <f t="shared" si="22"/>
        <v>12</v>
      </c>
      <c r="D361" s="5" t="str">
        <f>"29"</f>
        <v>29</v>
      </c>
      <c r="E361" s="6">
        <v>0</v>
      </c>
      <c r="F361" s="6">
        <v>0</v>
      </c>
      <c r="G361" s="6">
        <v>0</v>
      </c>
      <c r="H361" s="6" t="s">
        <v>10</v>
      </c>
    </row>
    <row r="362" ht="20.1" customHeight="1" spans="1:8">
      <c r="A362" s="5" t="str">
        <f t="shared" si="23"/>
        <v>221005</v>
      </c>
      <c r="B362" s="5" t="str">
        <f>"2022111230"</f>
        <v>2022111230</v>
      </c>
      <c r="C362" s="5" t="str">
        <f t="shared" si="22"/>
        <v>12</v>
      </c>
      <c r="D362" s="5" t="str">
        <f>"30"</f>
        <v>30</v>
      </c>
      <c r="E362" s="6">
        <v>0</v>
      </c>
      <c r="F362" s="6">
        <v>0</v>
      </c>
      <c r="G362" s="6">
        <v>0</v>
      </c>
      <c r="H362" s="6" t="s">
        <v>10</v>
      </c>
    </row>
    <row r="363" ht="20.1" customHeight="1" spans="1:8">
      <c r="A363" s="5" t="str">
        <f t="shared" si="23"/>
        <v>221005</v>
      </c>
      <c r="B363" s="5" t="str">
        <f>"2022111301"</f>
        <v>2022111301</v>
      </c>
      <c r="C363" s="5" t="str">
        <f t="shared" ref="C363:C392" si="24">"13"</f>
        <v>13</v>
      </c>
      <c r="D363" s="5" t="str">
        <f>"01"</f>
        <v>01</v>
      </c>
      <c r="E363" s="6">
        <v>138</v>
      </c>
      <c r="F363" s="6">
        <v>111.6</v>
      </c>
      <c r="G363" s="6">
        <v>83.2</v>
      </c>
      <c r="H363" s="7" t="s">
        <v>11</v>
      </c>
    </row>
    <row r="364" ht="20.1" customHeight="1" spans="1:8">
      <c r="A364" s="5" t="str">
        <f t="shared" si="23"/>
        <v>221005</v>
      </c>
      <c r="B364" s="5" t="str">
        <f>"2022111302"</f>
        <v>2022111302</v>
      </c>
      <c r="C364" s="5" t="str">
        <f t="shared" si="24"/>
        <v>13</v>
      </c>
      <c r="D364" s="5" t="str">
        <f>"02"</f>
        <v>02</v>
      </c>
      <c r="E364" s="6">
        <v>0</v>
      </c>
      <c r="F364" s="6">
        <v>0</v>
      </c>
      <c r="G364" s="6">
        <v>0</v>
      </c>
      <c r="H364" s="6" t="s">
        <v>10</v>
      </c>
    </row>
    <row r="365" ht="20.1" customHeight="1" spans="1:8">
      <c r="A365" s="5" t="str">
        <f t="shared" si="23"/>
        <v>221005</v>
      </c>
      <c r="B365" s="5" t="str">
        <f>"2022111303"</f>
        <v>2022111303</v>
      </c>
      <c r="C365" s="5" t="str">
        <f t="shared" si="24"/>
        <v>13</v>
      </c>
      <c r="D365" s="5" t="str">
        <f>"03"</f>
        <v>03</v>
      </c>
      <c r="E365" s="6">
        <v>0</v>
      </c>
      <c r="F365" s="6">
        <v>0</v>
      </c>
      <c r="G365" s="6">
        <v>0</v>
      </c>
      <c r="H365" s="6" t="s">
        <v>10</v>
      </c>
    </row>
    <row r="366" ht="20.1" customHeight="1" spans="1:8">
      <c r="A366" s="5" t="str">
        <f t="shared" si="23"/>
        <v>221005</v>
      </c>
      <c r="B366" s="5" t="str">
        <f>"2022111304"</f>
        <v>2022111304</v>
      </c>
      <c r="C366" s="5" t="str">
        <f t="shared" si="24"/>
        <v>13</v>
      </c>
      <c r="D366" s="5" t="str">
        <f>"04"</f>
        <v>04</v>
      </c>
      <c r="E366" s="6">
        <v>94.5</v>
      </c>
      <c r="F366" s="6">
        <v>102.4</v>
      </c>
      <c r="G366" s="6">
        <v>65.6333333333333</v>
      </c>
      <c r="H366" s="6" t="s">
        <v>9</v>
      </c>
    </row>
    <row r="367" ht="20.1" customHeight="1" spans="1:8">
      <c r="A367" s="5" t="str">
        <f t="shared" si="23"/>
        <v>221005</v>
      </c>
      <c r="B367" s="5" t="str">
        <f>"2022111305"</f>
        <v>2022111305</v>
      </c>
      <c r="C367" s="5" t="str">
        <f t="shared" si="24"/>
        <v>13</v>
      </c>
      <c r="D367" s="5" t="str">
        <f>"05"</f>
        <v>05</v>
      </c>
      <c r="E367" s="6">
        <v>0</v>
      </c>
      <c r="F367" s="6">
        <v>0</v>
      </c>
      <c r="G367" s="6">
        <v>0</v>
      </c>
      <c r="H367" s="6" t="s">
        <v>10</v>
      </c>
    </row>
    <row r="368" ht="20.1" customHeight="1" spans="1:8">
      <c r="A368" s="5" t="str">
        <f t="shared" si="23"/>
        <v>221005</v>
      </c>
      <c r="B368" s="5" t="str">
        <f>"2022111306"</f>
        <v>2022111306</v>
      </c>
      <c r="C368" s="5" t="str">
        <f t="shared" si="24"/>
        <v>13</v>
      </c>
      <c r="D368" s="5" t="str">
        <f>"06"</f>
        <v>06</v>
      </c>
      <c r="E368" s="6">
        <v>105</v>
      </c>
      <c r="F368" s="6">
        <v>102.4</v>
      </c>
      <c r="G368" s="6">
        <v>69.1333333333333</v>
      </c>
      <c r="H368" s="6" t="s">
        <v>9</v>
      </c>
    </row>
    <row r="369" ht="20.1" customHeight="1" spans="1:8">
      <c r="A369" s="5" t="str">
        <f t="shared" si="23"/>
        <v>221005</v>
      </c>
      <c r="B369" s="5" t="str">
        <f>"2022111307"</f>
        <v>2022111307</v>
      </c>
      <c r="C369" s="5" t="str">
        <f t="shared" si="24"/>
        <v>13</v>
      </c>
      <c r="D369" s="5" t="str">
        <f>"07"</f>
        <v>07</v>
      </c>
      <c r="E369" s="6">
        <v>117</v>
      </c>
      <c r="F369" s="6">
        <v>108.5</v>
      </c>
      <c r="G369" s="6">
        <v>75.1666666666667</v>
      </c>
      <c r="H369" s="6" t="s">
        <v>9</v>
      </c>
    </row>
    <row r="370" ht="20.1" customHeight="1" spans="1:8">
      <c r="A370" s="5" t="str">
        <f t="shared" si="23"/>
        <v>221005</v>
      </c>
      <c r="B370" s="5" t="str">
        <f>"2022111308"</f>
        <v>2022111308</v>
      </c>
      <c r="C370" s="5" t="str">
        <f t="shared" si="24"/>
        <v>13</v>
      </c>
      <c r="D370" s="5" t="str">
        <f>"08"</f>
        <v>08</v>
      </c>
      <c r="E370" s="6">
        <v>0</v>
      </c>
      <c r="F370" s="6">
        <v>0</v>
      </c>
      <c r="G370" s="6">
        <v>0</v>
      </c>
      <c r="H370" s="6" t="s">
        <v>10</v>
      </c>
    </row>
    <row r="371" ht="20.1" customHeight="1" spans="1:8">
      <c r="A371" s="5" t="str">
        <f t="shared" si="23"/>
        <v>221005</v>
      </c>
      <c r="B371" s="5" t="str">
        <f>"2022111309"</f>
        <v>2022111309</v>
      </c>
      <c r="C371" s="5" t="str">
        <f t="shared" si="24"/>
        <v>13</v>
      </c>
      <c r="D371" s="5" t="str">
        <f>"09"</f>
        <v>09</v>
      </c>
      <c r="E371" s="6">
        <v>0</v>
      </c>
      <c r="F371" s="6">
        <v>0</v>
      </c>
      <c r="G371" s="6">
        <v>0</v>
      </c>
      <c r="H371" s="6" t="s">
        <v>10</v>
      </c>
    </row>
    <row r="372" ht="20.1" customHeight="1" spans="1:8">
      <c r="A372" s="5" t="str">
        <f t="shared" si="23"/>
        <v>221005</v>
      </c>
      <c r="B372" s="5" t="str">
        <f>"2022111310"</f>
        <v>2022111310</v>
      </c>
      <c r="C372" s="5" t="str">
        <f t="shared" si="24"/>
        <v>13</v>
      </c>
      <c r="D372" s="5" t="str">
        <f>"10"</f>
        <v>10</v>
      </c>
      <c r="E372" s="6">
        <v>0</v>
      </c>
      <c r="F372" s="6">
        <v>0</v>
      </c>
      <c r="G372" s="6">
        <v>0</v>
      </c>
      <c r="H372" s="6" t="s">
        <v>10</v>
      </c>
    </row>
    <row r="373" ht="20.1" customHeight="1" spans="1:8">
      <c r="A373" s="5" t="str">
        <f t="shared" si="23"/>
        <v>221005</v>
      </c>
      <c r="B373" s="5" t="str">
        <f>"2022111311"</f>
        <v>2022111311</v>
      </c>
      <c r="C373" s="5" t="str">
        <f t="shared" si="24"/>
        <v>13</v>
      </c>
      <c r="D373" s="5" t="str">
        <f>"11"</f>
        <v>11</v>
      </c>
      <c r="E373" s="6">
        <v>112.5</v>
      </c>
      <c r="F373" s="6">
        <v>113.5</v>
      </c>
      <c r="G373" s="6">
        <v>75.3333333333333</v>
      </c>
      <c r="H373" s="6" t="s">
        <v>9</v>
      </c>
    </row>
    <row r="374" ht="20.1" customHeight="1" spans="1:8">
      <c r="A374" s="5" t="str">
        <f t="shared" si="23"/>
        <v>221005</v>
      </c>
      <c r="B374" s="5" t="str">
        <f>"2022111312"</f>
        <v>2022111312</v>
      </c>
      <c r="C374" s="5" t="str">
        <f t="shared" si="24"/>
        <v>13</v>
      </c>
      <c r="D374" s="5" t="str">
        <f>"12"</f>
        <v>12</v>
      </c>
      <c r="E374" s="6">
        <v>79.5</v>
      </c>
      <c r="F374" s="6">
        <v>103.1</v>
      </c>
      <c r="G374" s="6">
        <v>60.8666666666667</v>
      </c>
      <c r="H374" s="6" t="s">
        <v>9</v>
      </c>
    </row>
    <row r="375" ht="20.1" customHeight="1" spans="1:8">
      <c r="A375" s="5" t="str">
        <f t="shared" si="23"/>
        <v>221005</v>
      </c>
      <c r="B375" s="5" t="str">
        <f>"2022111313"</f>
        <v>2022111313</v>
      </c>
      <c r="C375" s="5" t="str">
        <f t="shared" si="24"/>
        <v>13</v>
      </c>
      <c r="D375" s="5" t="str">
        <f>"13"</f>
        <v>13</v>
      </c>
      <c r="E375" s="6">
        <v>103.5</v>
      </c>
      <c r="F375" s="6">
        <v>113.7</v>
      </c>
      <c r="G375" s="6">
        <v>72.4</v>
      </c>
      <c r="H375" s="6" t="s">
        <v>9</v>
      </c>
    </row>
    <row r="376" ht="20.1" customHeight="1" spans="1:8">
      <c r="A376" s="5" t="str">
        <f t="shared" si="23"/>
        <v>221005</v>
      </c>
      <c r="B376" s="5" t="str">
        <f>"2022111314"</f>
        <v>2022111314</v>
      </c>
      <c r="C376" s="5" t="str">
        <f t="shared" si="24"/>
        <v>13</v>
      </c>
      <c r="D376" s="5" t="str">
        <f>"14"</f>
        <v>14</v>
      </c>
      <c r="E376" s="6">
        <v>111</v>
      </c>
      <c r="F376" s="6">
        <v>114</v>
      </c>
      <c r="G376" s="6">
        <v>75</v>
      </c>
      <c r="H376" s="6" t="s">
        <v>9</v>
      </c>
    </row>
    <row r="377" ht="20.1" customHeight="1" spans="1:8">
      <c r="A377" s="5" t="str">
        <f t="shared" si="23"/>
        <v>221005</v>
      </c>
      <c r="B377" s="5" t="str">
        <f>"2022111315"</f>
        <v>2022111315</v>
      </c>
      <c r="C377" s="5" t="str">
        <f t="shared" si="24"/>
        <v>13</v>
      </c>
      <c r="D377" s="5" t="str">
        <f>"15"</f>
        <v>15</v>
      </c>
      <c r="E377" s="6">
        <v>0</v>
      </c>
      <c r="F377" s="6">
        <v>0</v>
      </c>
      <c r="G377" s="6">
        <v>0</v>
      </c>
      <c r="H377" s="6" t="s">
        <v>10</v>
      </c>
    </row>
    <row r="378" ht="20.1" customHeight="1" spans="1:8">
      <c r="A378" s="5" t="str">
        <f t="shared" si="23"/>
        <v>221005</v>
      </c>
      <c r="B378" s="5" t="str">
        <f>"2022111316"</f>
        <v>2022111316</v>
      </c>
      <c r="C378" s="5" t="str">
        <f t="shared" si="24"/>
        <v>13</v>
      </c>
      <c r="D378" s="5" t="str">
        <f>"16"</f>
        <v>16</v>
      </c>
      <c r="E378" s="6">
        <v>106.5</v>
      </c>
      <c r="F378" s="6">
        <v>108.7</v>
      </c>
      <c r="G378" s="6">
        <v>71.7333333333333</v>
      </c>
      <c r="H378" s="6" t="s">
        <v>9</v>
      </c>
    </row>
    <row r="379" ht="20.1" customHeight="1" spans="1:8">
      <c r="A379" s="5" t="str">
        <f t="shared" si="23"/>
        <v>221005</v>
      </c>
      <c r="B379" s="5" t="str">
        <f>"2022111317"</f>
        <v>2022111317</v>
      </c>
      <c r="C379" s="5" t="str">
        <f t="shared" si="24"/>
        <v>13</v>
      </c>
      <c r="D379" s="5" t="str">
        <f>"17"</f>
        <v>17</v>
      </c>
      <c r="E379" s="6">
        <v>117</v>
      </c>
      <c r="F379" s="6">
        <v>107</v>
      </c>
      <c r="G379" s="6">
        <v>74.6666666666667</v>
      </c>
      <c r="H379" s="6" t="s">
        <v>9</v>
      </c>
    </row>
    <row r="380" ht="20.1" customHeight="1" spans="1:8">
      <c r="A380" s="5" t="str">
        <f t="shared" si="23"/>
        <v>221005</v>
      </c>
      <c r="B380" s="5" t="str">
        <f>"2022111318"</f>
        <v>2022111318</v>
      </c>
      <c r="C380" s="5" t="str">
        <f t="shared" si="24"/>
        <v>13</v>
      </c>
      <c r="D380" s="5" t="str">
        <f>"18"</f>
        <v>18</v>
      </c>
      <c r="E380" s="6">
        <v>0</v>
      </c>
      <c r="F380" s="6">
        <v>0</v>
      </c>
      <c r="G380" s="6">
        <v>0</v>
      </c>
      <c r="H380" s="6" t="s">
        <v>10</v>
      </c>
    </row>
    <row r="381" ht="20.1" customHeight="1" spans="1:8">
      <c r="A381" s="5" t="str">
        <f t="shared" si="23"/>
        <v>221005</v>
      </c>
      <c r="B381" s="5" t="str">
        <f>"2022111319"</f>
        <v>2022111319</v>
      </c>
      <c r="C381" s="5" t="str">
        <f t="shared" si="24"/>
        <v>13</v>
      </c>
      <c r="D381" s="5" t="str">
        <f>"19"</f>
        <v>19</v>
      </c>
      <c r="E381" s="6">
        <v>97.5</v>
      </c>
      <c r="F381" s="6">
        <v>112.7</v>
      </c>
      <c r="G381" s="6">
        <v>70.0666666666667</v>
      </c>
      <c r="H381" s="6" t="s">
        <v>9</v>
      </c>
    </row>
    <row r="382" ht="20.1" customHeight="1" spans="1:8">
      <c r="A382" s="5" t="str">
        <f t="shared" si="23"/>
        <v>221005</v>
      </c>
      <c r="B382" s="5" t="str">
        <f>"2022111320"</f>
        <v>2022111320</v>
      </c>
      <c r="C382" s="5" t="str">
        <f t="shared" si="24"/>
        <v>13</v>
      </c>
      <c r="D382" s="5" t="str">
        <f>"20"</f>
        <v>20</v>
      </c>
      <c r="E382" s="6">
        <v>0</v>
      </c>
      <c r="F382" s="6">
        <v>0</v>
      </c>
      <c r="G382" s="6">
        <v>0</v>
      </c>
      <c r="H382" s="6" t="s">
        <v>10</v>
      </c>
    </row>
    <row r="383" ht="20.1" customHeight="1" spans="1:8">
      <c r="A383" s="5" t="str">
        <f t="shared" si="23"/>
        <v>221005</v>
      </c>
      <c r="B383" s="5" t="str">
        <f>"2022111321"</f>
        <v>2022111321</v>
      </c>
      <c r="C383" s="5" t="str">
        <f t="shared" si="24"/>
        <v>13</v>
      </c>
      <c r="D383" s="5" t="str">
        <f>"21"</f>
        <v>21</v>
      </c>
      <c r="E383" s="6">
        <v>109.5</v>
      </c>
      <c r="F383" s="6">
        <v>108.4</v>
      </c>
      <c r="G383" s="6">
        <v>72.6333333333333</v>
      </c>
      <c r="H383" s="6" t="s">
        <v>9</v>
      </c>
    </row>
    <row r="384" ht="20.1" customHeight="1" spans="1:8">
      <c r="A384" s="5" t="str">
        <f t="shared" si="23"/>
        <v>221005</v>
      </c>
      <c r="B384" s="5" t="str">
        <f>"2022111322"</f>
        <v>2022111322</v>
      </c>
      <c r="C384" s="5" t="str">
        <f t="shared" si="24"/>
        <v>13</v>
      </c>
      <c r="D384" s="5" t="str">
        <f>"22"</f>
        <v>22</v>
      </c>
      <c r="E384" s="6">
        <v>100.5</v>
      </c>
      <c r="F384" s="6">
        <v>100.6</v>
      </c>
      <c r="G384" s="6">
        <v>67.0333333333333</v>
      </c>
      <c r="H384" s="6" t="s">
        <v>9</v>
      </c>
    </row>
    <row r="385" ht="20.1" customHeight="1" spans="1:8">
      <c r="A385" s="5" t="str">
        <f t="shared" si="23"/>
        <v>221005</v>
      </c>
      <c r="B385" s="5" t="str">
        <f>"2022111323"</f>
        <v>2022111323</v>
      </c>
      <c r="C385" s="5" t="str">
        <f t="shared" si="24"/>
        <v>13</v>
      </c>
      <c r="D385" s="5" t="str">
        <f>"23"</f>
        <v>23</v>
      </c>
      <c r="E385" s="6">
        <v>0</v>
      </c>
      <c r="F385" s="6">
        <v>0</v>
      </c>
      <c r="G385" s="6">
        <v>0</v>
      </c>
      <c r="H385" s="6" t="s">
        <v>10</v>
      </c>
    </row>
    <row r="386" ht="20.1" customHeight="1" spans="1:8">
      <c r="A386" s="5" t="str">
        <f t="shared" si="23"/>
        <v>221005</v>
      </c>
      <c r="B386" s="5" t="str">
        <f>"2022111324"</f>
        <v>2022111324</v>
      </c>
      <c r="C386" s="5" t="str">
        <f t="shared" si="24"/>
        <v>13</v>
      </c>
      <c r="D386" s="5" t="str">
        <f>"24"</f>
        <v>24</v>
      </c>
      <c r="E386" s="6">
        <v>0</v>
      </c>
      <c r="F386" s="6">
        <v>0</v>
      </c>
      <c r="G386" s="6">
        <v>0</v>
      </c>
      <c r="H386" s="6" t="s">
        <v>10</v>
      </c>
    </row>
    <row r="387" ht="20.1" customHeight="1" spans="1:8">
      <c r="A387" s="5" t="str">
        <f t="shared" si="23"/>
        <v>221005</v>
      </c>
      <c r="B387" s="5" t="str">
        <f>"2022111325"</f>
        <v>2022111325</v>
      </c>
      <c r="C387" s="5" t="str">
        <f t="shared" si="24"/>
        <v>13</v>
      </c>
      <c r="D387" s="5" t="str">
        <f>"25"</f>
        <v>25</v>
      </c>
      <c r="E387" s="6">
        <v>124.5</v>
      </c>
      <c r="F387" s="6">
        <v>111.6</v>
      </c>
      <c r="G387" s="6">
        <v>78.7</v>
      </c>
      <c r="H387" s="6" t="s">
        <v>9</v>
      </c>
    </row>
    <row r="388" ht="20.1" customHeight="1" spans="1:8">
      <c r="A388" s="5" t="str">
        <f t="shared" si="23"/>
        <v>221005</v>
      </c>
      <c r="B388" s="5" t="str">
        <f>"2022111326"</f>
        <v>2022111326</v>
      </c>
      <c r="C388" s="5" t="str">
        <f t="shared" si="24"/>
        <v>13</v>
      </c>
      <c r="D388" s="5" t="str">
        <f>"26"</f>
        <v>26</v>
      </c>
      <c r="E388" s="6">
        <v>0</v>
      </c>
      <c r="F388" s="6">
        <v>0</v>
      </c>
      <c r="G388" s="6">
        <v>0</v>
      </c>
      <c r="H388" s="6" t="s">
        <v>10</v>
      </c>
    </row>
    <row r="389" ht="20.1" customHeight="1" spans="1:8">
      <c r="A389" s="5" t="str">
        <f t="shared" ref="A389:A420" si="25">"221005"</f>
        <v>221005</v>
      </c>
      <c r="B389" s="5" t="str">
        <f>"2022111327"</f>
        <v>2022111327</v>
      </c>
      <c r="C389" s="5" t="str">
        <f t="shared" si="24"/>
        <v>13</v>
      </c>
      <c r="D389" s="5" t="str">
        <f>"27"</f>
        <v>27</v>
      </c>
      <c r="E389" s="6">
        <v>111</v>
      </c>
      <c r="F389" s="6">
        <v>113</v>
      </c>
      <c r="G389" s="6">
        <v>74.6666666666667</v>
      </c>
      <c r="H389" s="6" t="s">
        <v>9</v>
      </c>
    </row>
    <row r="390" ht="20.1" customHeight="1" spans="1:8">
      <c r="A390" s="5" t="str">
        <f t="shared" si="25"/>
        <v>221005</v>
      </c>
      <c r="B390" s="5" t="str">
        <f>"2022111328"</f>
        <v>2022111328</v>
      </c>
      <c r="C390" s="5" t="str">
        <f t="shared" si="24"/>
        <v>13</v>
      </c>
      <c r="D390" s="5" t="str">
        <f>"28"</f>
        <v>28</v>
      </c>
      <c r="E390" s="6">
        <v>109.5</v>
      </c>
      <c r="F390" s="6">
        <v>107.5</v>
      </c>
      <c r="G390" s="6">
        <v>72.3333333333333</v>
      </c>
      <c r="H390" s="6" t="s">
        <v>9</v>
      </c>
    </row>
    <row r="391" ht="20.1" customHeight="1" spans="1:8">
      <c r="A391" s="5" t="str">
        <f t="shared" si="25"/>
        <v>221005</v>
      </c>
      <c r="B391" s="5" t="str">
        <f>"2022111329"</f>
        <v>2022111329</v>
      </c>
      <c r="C391" s="5" t="str">
        <f t="shared" si="24"/>
        <v>13</v>
      </c>
      <c r="D391" s="5" t="str">
        <f>"29"</f>
        <v>29</v>
      </c>
      <c r="E391" s="6">
        <v>0</v>
      </c>
      <c r="F391" s="6">
        <v>0</v>
      </c>
      <c r="G391" s="6">
        <v>0</v>
      </c>
      <c r="H391" s="6" t="s">
        <v>10</v>
      </c>
    </row>
    <row r="392" ht="20.1" customHeight="1" spans="1:8">
      <c r="A392" s="5" t="str">
        <f t="shared" si="25"/>
        <v>221005</v>
      </c>
      <c r="B392" s="5" t="str">
        <f>"2022111330"</f>
        <v>2022111330</v>
      </c>
      <c r="C392" s="5" t="str">
        <f t="shared" si="24"/>
        <v>13</v>
      </c>
      <c r="D392" s="5" t="str">
        <f>"30"</f>
        <v>30</v>
      </c>
      <c r="E392" s="6">
        <v>0</v>
      </c>
      <c r="F392" s="6">
        <v>0</v>
      </c>
      <c r="G392" s="6">
        <v>0</v>
      </c>
      <c r="H392" s="6" t="s">
        <v>10</v>
      </c>
    </row>
    <row r="393" ht="20.1" customHeight="1" spans="1:8">
      <c r="A393" s="5" t="str">
        <f t="shared" si="25"/>
        <v>221005</v>
      </c>
      <c r="B393" s="5" t="str">
        <f>"2022111401"</f>
        <v>2022111401</v>
      </c>
      <c r="C393" s="5" t="str">
        <f t="shared" ref="C393:C422" si="26">"14"</f>
        <v>14</v>
      </c>
      <c r="D393" s="5" t="str">
        <f>"01"</f>
        <v>01</v>
      </c>
      <c r="E393" s="6">
        <v>0</v>
      </c>
      <c r="F393" s="6">
        <v>0</v>
      </c>
      <c r="G393" s="6">
        <v>0</v>
      </c>
      <c r="H393" s="6" t="s">
        <v>10</v>
      </c>
    </row>
    <row r="394" ht="20.1" customHeight="1" spans="1:8">
      <c r="A394" s="5" t="str">
        <f t="shared" si="25"/>
        <v>221005</v>
      </c>
      <c r="B394" s="5" t="str">
        <f>"2022111402"</f>
        <v>2022111402</v>
      </c>
      <c r="C394" s="5" t="str">
        <f t="shared" si="26"/>
        <v>14</v>
      </c>
      <c r="D394" s="5" t="str">
        <f>"02"</f>
        <v>02</v>
      </c>
      <c r="E394" s="6">
        <v>0</v>
      </c>
      <c r="F394" s="6">
        <v>0</v>
      </c>
      <c r="G394" s="6">
        <v>0</v>
      </c>
      <c r="H394" s="6" t="s">
        <v>10</v>
      </c>
    </row>
    <row r="395" ht="20.1" customHeight="1" spans="1:8">
      <c r="A395" s="5" t="str">
        <f t="shared" si="25"/>
        <v>221005</v>
      </c>
      <c r="B395" s="5" t="str">
        <f>"2022111403"</f>
        <v>2022111403</v>
      </c>
      <c r="C395" s="5" t="str">
        <f t="shared" si="26"/>
        <v>14</v>
      </c>
      <c r="D395" s="5" t="str">
        <f>"03"</f>
        <v>03</v>
      </c>
      <c r="E395" s="6">
        <v>115.5</v>
      </c>
      <c r="F395" s="6">
        <v>107.6</v>
      </c>
      <c r="G395" s="6">
        <v>74.3666666666667</v>
      </c>
      <c r="H395" s="6" t="s">
        <v>9</v>
      </c>
    </row>
    <row r="396" ht="20.1" customHeight="1" spans="1:8">
      <c r="A396" s="5" t="str">
        <f t="shared" si="25"/>
        <v>221005</v>
      </c>
      <c r="B396" s="5" t="str">
        <f>"2022111404"</f>
        <v>2022111404</v>
      </c>
      <c r="C396" s="5" t="str">
        <f t="shared" si="26"/>
        <v>14</v>
      </c>
      <c r="D396" s="5" t="str">
        <f>"04"</f>
        <v>04</v>
      </c>
      <c r="E396" s="6">
        <v>0</v>
      </c>
      <c r="F396" s="6">
        <v>0</v>
      </c>
      <c r="G396" s="6">
        <v>0</v>
      </c>
      <c r="H396" s="6" t="s">
        <v>10</v>
      </c>
    </row>
    <row r="397" ht="20.1" customHeight="1" spans="1:8">
      <c r="A397" s="5" t="str">
        <f t="shared" si="25"/>
        <v>221005</v>
      </c>
      <c r="B397" s="5" t="str">
        <f>"2022111405"</f>
        <v>2022111405</v>
      </c>
      <c r="C397" s="5" t="str">
        <f t="shared" si="26"/>
        <v>14</v>
      </c>
      <c r="D397" s="5" t="str">
        <f>"05"</f>
        <v>05</v>
      </c>
      <c r="E397" s="6">
        <v>87</v>
      </c>
      <c r="F397" s="6">
        <v>103.3</v>
      </c>
      <c r="G397" s="6">
        <v>63.4333333333333</v>
      </c>
      <c r="H397" s="6" t="s">
        <v>9</v>
      </c>
    </row>
    <row r="398" ht="20.1" customHeight="1" spans="1:8">
      <c r="A398" s="5" t="str">
        <f t="shared" si="25"/>
        <v>221005</v>
      </c>
      <c r="B398" s="5" t="str">
        <f>"2022111406"</f>
        <v>2022111406</v>
      </c>
      <c r="C398" s="5" t="str">
        <f t="shared" si="26"/>
        <v>14</v>
      </c>
      <c r="D398" s="5" t="str">
        <f>"06"</f>
        <v>06</v>
      </c>
      <c r="E398" s="6">
        <v>102</v>
      </c>
      <c r="F398" s="6">
        <v>106.5</v>
      </c>
      <c r="G398" s="6">
        <v>69.5</v>
      </c>
      <c r="H398" s="6" t="s">
        <v>9</v>
      </c>
    </row>
    <row r="399" ht="20.1" customHeight="1" spans="1:8">
      <c r="A399" s="5" t="str">
        <f t="shared" si="25"/>
        <v>221005</v>
      </c>
      <c r="B399" s="5" t="str">
        <f>"2022111407"</f>
        <v>2022111407</v>
      </c>
      <c r="C399" s="5" t="str">
        <f t="shared" si="26"/>
        <v>14</v>
      </c>
      <c r="D399" s="5" t="str">
        <f>"07"</f>
        <v>07</v>
      </c>
      <c r="E399" s="6">
        <v>0</v>
      </c>
      <c r="F399" s="6">
        <v>0</v>
      </c>
      <c r="G399" s="6">
        <v>0</v>
      </c>
      <c r="H399" s="6" t="s">
        <v>10</v>
      </c>
    </row>
    <row r="400" ht="20.1" customHeight="1" spans="1:8">
      <c r="A400" s="5" t="str">
        <f t="shared" si="25"/>
        <v>221005</v>
      </c>
      <c r="B400" s="5" t="str">
        <f>"2022111408"</f>
        <v>2022111408</v>
      </c>
      <c r="C400" s="5" t="str">
        <f t="shared" si="26"/>
        <v>14</v>
      </c>
      <c r="D400" s="5" t="str">
        <f>"08"</f>
        <v>08</v>
      </c>
      <c r="E400" s="6">
        <v>102</v>
      </c>
      <c r="F400" s="6">
        <v>112.4</v>
      </c>
      <c r="G400" s="6">
        <v>71.4666666666667</v>
      </c>
      <c r="H400" s="6" t="s">
        <v>9</v>
      </c>
    </row>
    <row r="401" ht="20.1" customHeight="1" spans="1:8">
      <c r="A401" s="5" t="str">
        <f t="shared" si="25"/>
        <v>221005</v>
      </c>
      <c r="B401" s="5" t="str">
        <f>"2022111409"</f>
        <v>2022111409</v>
      </c>
      <c r="C401" s="5" t="str">
        <f t="shared" si="26"/>
        <v>14</v>
      </c>
      <c r="D401" s="5" t="str">
        <f>"09"</f>
        <v>09</v>
      </c>
      <c r="E401" s="6">
        <v>0</v>
      </c>
      <c r="F401" s="6">
        <v>0</v>
      </c>
      <c r="G401" s="6">
        <v>0</v>
      </c>
      <c r="H401" s="6" t="s">
        <v>10</v>
      </c>
    </row>
    <row r="402" ht="20.1" customHeight="1" spans="1:8">
      <c r="A402" s="5" t="str">
        <f t="shared" si="25"/>
        <v>221005</v>
      </c>
      <c r="B402" s="5" t="str">
        <f>"2022111410"</f>
        <v>2022111410</v>
      </c>
      <c r="C402" s="5" t="str">
        <f t="shared" si="26"/>
        <v>14</v>
      </c>
      <c r="D402" s="5" t="str">
        <f>"10"</f>
        <v>10</v>
      </c>
      <c r="E402" s="6">
        <v>121.5</v>
      </c>
      <c r="F402" s="6">
        <v>111.8</v>
      </c>
      <c r="G402" s="6">
        <v>77.7666666666667</v>
      </c>
      <c r="H402" s="6" t="s">
        <v>9</v>
      </c>
    </row>
    <row r="403" ht="20.1" customHeight="1" spans="1:8">
      <c r="A403" s="5" t="str">
        <f t="shared" si="25"/>
        <v>221005</v>
      </c>
      <c r="B403" s="5" t="str">
        <f>"2022111411"</f>
        <v>2022111411</v>
      </c>
      <c r="C403" s="5" t="str">
        <f t="shared" si="26"/>
        <v>14</v>
      </c>
      <c r="D403" s="5" t="str">
        <f>"11"</f>
        <v>11</v>
      </c>
      <c r="E403" s="6">
        <v>120</v>
      </c>
      <c r="F403" s="6">
        <v>110.3</v>
      </c>
      <c r="G403" s="6">
        <v>76.7666666666667</v>
      </c>
      <c r="H403" s="6" t="s">
        <v>9</v>
      </c>
    </row>
    <row r="404" ht="20.1" customHeight="1" spans="1:8">
      <c r="A404" s="5" t="str">
        <f t="shared" si="25"/>
        <v>221005</v>
      </c>
      <c r="B404" s="5" t="str">
        <f>"2022111412"</f>
        <v>2022111412</v>
      </c>
      <c r="C404" s="5" t="str">
        <f t="shared" si="26"/>
        <v>14</v>
      </c>
      <c r="D404" s="5" t="str">
        <f>"12"</f>
        <v>12</v>
      </c>
      <c r="E404" s="6">
        <v>0</v>
      </c>
      <c r="F404" s="6">
        <v>0</v>
      </c>
      <c r="G404" s="6">
        <v>0</v>
      </c>
      <c r="H404" s="6" t="s">
        <v>10</v>
      </c>
    </row>
    <row r="405" ht="20.1" customHeight="1" spans="1:8">
      <c r="A405" s="5" t="str">
        <f t="shared" si="25"/>
        <v>221005</v>
      </c>
      <c r="B405" s="5" t="str">
        <f>"2022111413"</f>
        <v>2022111413</v>
      </c>
      <c r="C405" s="5" t="str">
        <f t="shared" si="26"/>
        <v>14</v>
      </c>
      <c r="D405" s="5" t="str">
        <f>"13"</f>
        <v>13</v>
      </c>
      <c r="E405" s="6">
        <v>75</v>
      </c>
      <c r="F405" s="6">
        <v>112.8</v>
      </c>
      <c r="G405" s="6">
        <v>62.6</v>
      </c>
      <c r="H405" s="6" t="s">
        <v>9</v>
      </c>
    </row>
    <row r="406" ht="20.1" customHeight="1" spans="1:8">
      <c r="A406" s="5" t="str">
        <f t="shared" si="25"/>
        <v>221005</v>
      </c>
      <c r="B406" s="5" t="str">
        <f>"2022111414"</f>
        <v>2022111414</v>
      </c>
      <c r="C406" s="5" t="str">
        <f t="shared" si="26"/>
        <v>14</v>
      </c>
      <c r="D406" s="5" t="str">
        <f>"14"</f>
        <v>14</v>
      </c>
      <c r="E406" s="6">
        <v>123</v>
      </c>
      <c r="F406" s="6">
        <v>108.9</v>
      </c>
      <c r="G406" s="6">
        <v>77.3</v>
      </c>
      <c r="H406" s="6" t="s">
        <v>9</v>
      </c>
    </row>
    <row r="407" ht="20.1" customHeight="1" spans="1:8">
      <c r="A407" s="5" t="str">
        <f t="shared" si="25"/>
        <v>221005</v>
      </c>
      <c r="B407" s="5" t="str">
        <f>"2022111415"</f>
        <v>2022111415</v>
      </c>
      <c r="C407" s="5" t="str">
        <f t="shared" si="26"/>
        <v>14</v>
      </c>
      <c r="D407" s="5" t="str">
        <f>"15"</f>
        <v>15</v>
      </c>
      <c r="E407" s="6">
        <v>114</v>
      </c>
      <c r="F407" s="6">
        <v>106.8</v>
      </c>
      <c r="G407" s="6">
        <v>73.6</v>
      </c>
      <c r="H407" s="6" t="s">
        <v>9</v>
      </c>
    </row>
    <row r="408" ht="20.1" customHeight="1" spans="1:8">
      <c r="A408" s="5" t="str">
        <f t="shared" si="25"/>
        <v>221005</v>
      </c>
      <c r="B408" s="5" t="str">
        <f>"2022111416"</f>
        <v>2022111416</v>
      </c>
      <c r="C408" s="5" t="str">
        <f t="shared" si="26"/>
        <v>14</v>
      </c>
      <c r="D408" s="5" t="str">
        <f>"16"</f>
        <v>16</v>
      </c>
      <c r="E408" s="6">
        <v>120</v>
      </c>
      <c r="F408" s="6">
        <v>112.5</v>
      </c>
      <c r="G408" s="6">
        <v>77.5</v>
      </c>
      <c r="H408" s="6" t="s">
        <v>9</v>
      </c>
    </row>
    <row r="409" ht="20.1" customHeight="1" spans="1:8">
      <c r="A409" s="5" t="str">
        <f t="shared" si="25"/>
        <v>221005</v>
      </c>
      <c r="B409" s="5" t="str">
        <f>"2022111417"</f>
        <v>2022111417</v>
      </c>
      <c r="C409" s="5" t="str">
        <f t="shared" si="26"/>
        <v>14</v>
      </c>
      <c r="D409" s="5" t="str">
        <f>"17"</f>
        <v>17</v>
      </c>
      <c r="E409" s="6">
        <v>106.5</v>
      </c>
      <c r="F409" s="6">
        <v>115.8</v>
      </c>
      <c r="G409" s="6">
        <v>74.1</v>
      </c>
      <c r="H409" s="6" t="s">
        <v>9</v>
      </c>
    </row>
    <row r="410" ht="20.1" customHeight="1" spans="1:8">
      <c r="A410" s="5" t="str">
        <f t="shared" si="25"/>
        <v>221005</v>
      </c>
      <c r="B410" s="5" t="str">
        <f>"2022111418"</f>
        <v>2022111418</v>
      </c>
      <c r="C410" s="5" t="str">
        <f t="shared" si="26"/>
        <v>14</v>
      </c>
      <c r="D410" s="5" t="str">
        <f>"18"</f>
        <v>18</v>
      </c>
      <c r="E410" s="6">
        <v>123</v>
      </c>
      <c r="F410" s="6">
        <v>103.7</v>
      </c>
      <c r="G410" s="6">
        <v>75.5666666666667</v>
      </c>
      <c r="H410" s="6" t="s">
        <v>9</v>
      </c>
    </row>
    <row r="411" ht="20.1" customHeight="1" spans="1:8">
      <c r="A411" s="5" t="str">
        <f t="shared" si="25"/>
        <v>221005</v>
      </c>
      <c r="B411" s="5" t="str">
        <f>"2022111419"</f>
        <v>2022111419</v>
      </c>
      <c r="C411" s="5" t="str">
        <f t="shared" si="26"/>
        <v>14</v>
      </c>
      <c r="D411" s="5" t="str">
        <f>"19"</f>
        <v>19</v>
      </c>
      <c r="E411" s="6">
        <v>102</v>
      </c>
      <c r="F411" s="6">
        <v>108.1</v>
      </c>
      <c r="G411" s="6">
        <v>70.0333333333333</v>
      </c>
      <c r="H411" s="6" t="s">
        <v>9</v>
      </c>
    </row>
    <row r="412" ht="20.1" customHeight="1" spans="1:8">
      <c r="A412" s="5" t="str">
        <f t="shared" si="25"/>
        <v>221005</v>
      </c>
      <c r="B412" s="5" t="str">
        <f>"2022111420"</f>
        <v>2022111420</v>
      </c>
      <c r="C412" s="5" t="str">
        <f t="shared" si="26"/>
        <v>14</v>
      </c>
      <c r="D412" s="5" t="str">
        <f>"20"</f>
        <v>20</v>
      </c>
      <c r="E412" s="6">
        <v>111</v>
      </c>
      <c r="F412" s="6">
        <v>111.3</v>
      </c>
      <c r="G412" s="6">
        <v>74.1</v>
      </c>
      <c r="H412" s="6" t="s">
        <v>9</v>
      </c>
    </row>
    <row r="413" ht="20.1" customHeight="1" spans="1:8">
      <c r="A413" s="5" t="str">
        <f t="shared" si="25"/>
        <v>221005</v>
      </c>
      <c r="B413" s="5" t="str">
        <f>"2022111421"</f>
        <v>2022111421</v>
      </c>
      <c r="C413" s="5" t="str">
        <f t="shared" si="26"/>
        <v>14</v>
      </c>
      <c r="D413" s="5" t="str">
        <f>"21"</f>
        <v>21</v>
      </c>
      <c r="E413" s="6">
        <v>0</v>
      </c>
      <c r="F413" s="6">
        <v>0</v>
      </c>
      <c r="G413" s="6">
        <v>0</v>
      </c>
      <c r="H413" s="6" t="s">
        <v>10</v>
      </c>
    </row>
    <row r="414" ht="20.1" customHeight="1" spans="1:8">
      <c r="A414" s="5" t="str">
        <f t="shared" si="25"/>
        <v>221005</v>
      </c>
      <c r="B414" s="5" t="str">
        <f>"2022111422"</f>
        <v>2022111422</v>
      </c>
      <c r="C414" s="5" t="str">
        <f t="shared" si="26"/>
        <v>14</v>
      </c>
      <c r="D414" s="5" t="str">
        <f>"22"</f>
        <v>22</v>
      </c>
      <c r="E414" s="6">
        <v>117</v>
      </c>
      <c r="F414" s="6">
        <v>100.9</v>
      </c>
      <c r="G414" s="6">
        <v>72.6333333333333</v>
      </c>
      <c r="H414" s="6" t="s">
        <v>9</v>
      </c>
    </row>
    <row r="415" ht="20.1" customHeight="1" spans="1:8">
      <c r="A415" s="5" t="str">
        <f t="shared" si="25"/>
        <v>221005</v>
      </c>
      <c r="B415" s="5" t="str">
        <f>"2022111423"</f>
        <v>2022111423</v>
      </c>
      <c r="C415" s="5" t="str">
        <f t="shared" si="26"/>
        <v>14</v>
      </c>
      <c r="D415" s="5" t="str">
        <f>"23"</f>
        <v>23</v>
      </c>
      <c r="E415" s="6">
        <v>90</v>
      </c>
      <c r="F415" s="6">
        <v>105.4</v>
      </c>
      <c r="G415" s="6">
        <v>65.1333333333333</v>
      </c>
      <c r="H415" s="6" t="s">
        <v>9</v>
      </c>
    </row>
    <row r="416" ht="20.1" customHeight="1" spans="1:8">
      <c r="A416" s="5" t="str">
        <f t="shared" si="25"/>
        <v>221005</v>
      </c>
      <c r="B416" s="5" t="str">
        <f>"2022111424"</f>
        <v>2022111424</v>
      </c>
      <c r="C416" s="5" t="str">
        <f t="shared" si="26"/>
        <v>14</v>
      </c>
      <c r="D416" s="5" t="str">
        <f>"24"</f>
        <v>24</v>
      </c>
      <c r="E416" s="6">
        <v>0</v>
      </c>
      <c r="F416" s="6">
        <v>0</v>
      </c>
      <c r="G416" s="6">
        <v>0</v>
      </c>
      <c r="H416" s="6" t="s">
        <v>10</v>
      </c>
    </row>
    <row r="417" ht="20.1" customHeight="1" spans="1:8">
      <c r="A417" s="5" t="str">
        <f t="shared" si="25"/>
        <v>221005</v>
      </c>
      <c r="B417" s="5" t="str">
        <f>"2022111425"</f>
        <v>2022111425</v>
      </c>
      <c r="C417" s="5" t="str">
        <f t="shared" si="26"/>
        <v>14</v>
      </c>
      <c r="D417" s="5" t="str">
        <f>"25"</f>
        <v>25</v>
      </c>
      <c r="E417" s="6">
        <v>126</v>
      </c>
      <c r="F417" s="6">
        <v>106.2</v>
      </c>
      <c r="G417" s="6">
        <v>77.4</v>
      </c>
      <c r="H417" s="6" t="s">
        <v>9</v>
      </c>
    </row>
    <row r="418" ht="20.1" customHeight="1" spans="1:8">
      <c r="A418" s="5" t="str">
        <f t="shared" si="25"/>
        <v>221005</v>
      </c>
      <c r="B418" s="5" t="str">
        <f>"2022111426"</f>
        <v>2022111426</v>
      </c>
      <c r="C418" s="5" t="str">
        <f t="shared" si="26"/>
        <v>14</v>
      </c>
      <c r="D418" s="5" t="str">
        <f>"26"</f>
        <v>26</v>
      </c>
      <c r="E418" s="6">
        <v>0</v>
      </c>
      <c r="F418" s="6">
        <v>0</v>
      </c>
      <c r="G418" s="6">
        <v>0</v>
      </c>
      <c r="H418" s="6" t="s">
        <v>10</v>
      </c>
    </row>
    <row r="419" ht="20.1" customHeight="1" spans="1:8">
      <c r="A419" s="5" t="str">
        <f t="shared" si="25"/>
        <v>221005</v>
      </c>
      <c r="B419" s="5" t="str">
        <f>"2022111427"</f>
        <v>2022111427</v>
      </c>
      <c r="C419" s="5" t="str">
        <f t="shared" si="26"/>
        <v>14</v>
      </c>
      <c r="D419" s="5" t="str">
        <f>"27"</f>
        <v>27</v>
      </c>
      <c r="E419" s="6">
        <v>117</v>
      </c>
      <c r="F419" s="6">
        <v>113.6</v>
      </c>
      <c r="G419" s="6">
        <v>76.8666666666667</v>
      </c>
      <c r="H419" s="6" t="s">
        <v>9</v>
      </c>
    </row>
    <row r="420" ht="20.1" customHeight="1" spans="1:8">
      <c r="A420" s="5" t="str">
        <f t="shared" si="25"/>
        <v>221005</v>
      </c>
      <c r="B420" s="5" t="str">
        <f>"2022111428"</f>
        <v>2022111428</v>
      </c>
      <c r="C420" s="5" t="str">
        <f t="shared" si="26"/>
        <v>14</v>
      </c>
      <c r="D420" s="5" t="str">
        <f>"28"</f>
        <v>28</v>
      </c>
      <c r="E420" s="6">
        <v>0</v>
      </c>
      <c r="F420" s="6">
        <v>0</v>
      </c>
      <c r="G420" s="6">
        <v>0</v>
      </c>
      <c r="H420" s="6" t="s">
        <v>10</v>
      </c>
    </row>
    <row r="421" ht="20.1" customHeight="1" spans="1:8">
      <c r="A421" s="5" t="str">
        <f t="shared" ref="A421:A457" si="27">"221005"</f>
        <v>221005</v>
      </c>
      <c r="B421" s="5" t="str">
        <f>"2022111429"</f>
        <v>2022111429</v>
      </c>
      <c r="C421" s="5" t="str">
        <f t="shared" si="26"/>
        <v>14</v>
      </c>
      <c r="D421" s="5" t="str">
        <f>"29"</f>
        <v>29</v>
      </c>
      <c r="E421" s="6">
        <v>0</v>
      </c>
      <c r="F421" s="6">
        <v>0</v>
      </c>
      <c r="G421" s="6">
        <v>0</v>
      </c>
      <c r="H421" s="6" t="s">
        <v>10</v>
      </c>
    </row>
    <row r="422" ht="20.1" customHeight="1" spans="1:8">
      <c r="A422" s="5" t="str">
        <f t="shared" si="27"/>
        <v>221005</v>
      </c>
      <c r="B422" s="5" t="str">
        <f>"2022111430"</f>
        <v>2022111430</v>
      </c>
      <c r="C422" s="5" t="str">
        <f t="shared" si="26"/>
        <v>14</v>
      </c>
      <c r="D422" s="5" t="str">
        <f>"30"</f>
        <v>30</v>
      </c>
      <c r="E422" s="6">
        <v>117</v>
      </c>
      <c r="F422" s="6">
        <v>107.4</v>
      </c>
      <c r="G422" s="6">
        <v>74.8</v>
      </c>
      <c r="H422" s="6" t="s">
        <v>9</v>
      </c>
    </row>
    <row r="423" ht="20.1" customHeight="1" spans="1:8">
      <c r="A423" s="5" t="str">
        <f t="shared" si="27"/>
        <v>221005</v>
      </c>
      <c r="B423" s="5" t="str">
        <f>"2022111501"</f>
        <v>2022111501</v>
      </c>
      <c r="C423" s="5" t="str">
        <f t="shared" ref="C423:C452" si="28">"15"</f>
        <v>15</v>
      </c>
      <c r="D423" s="5" t="str">
        <f>"01"</f>
        <v>01</v>
      </c>
      <c r="E423" s="6">
        <v>0</v>
      </c>
      <c r="F423" s="6">
        <v>0</v>
      </c>
      <c r="G423" s="6">
        <v>0</v>
      </c>
      <c r="H423" s="6" t="s">
        <v>10</v>
      </c>
    </row>
    <row r="424" ht="20.1" customHeight="1" spans="1:8">
      <c r="A424" s="5" t="str">
        <f t="shared" si="27"/>
        <v>221005</v>
      </c>
      <c r="B424" s="5" t="str">
        <f>"2022111502"</f>
        <v>2022111502</v>
      </c>
      <c r="C424" s="5" t="str">
        <f t="shared" si="28"/>
        <v>15</v>
      </c>
      <c r="D424" s="5" t="str">
        <f>"02"</f>
        <v>02</v>
      </c>
      <c r="E424" s="6">
        <v>0</v>
      </c>
      <c r="F424" s="6">
        <v>0</v>
      </c>
      <c r="G424" s="6">
        <v>0</v>
      </c>
      <c r="H424" s="6" t="s">
        <v>10</v>
      </c>
    </row>
    <row r="425" ht="20.1" customHeight="1" spans="1:8">
      <c r="A425" s="5" t="str">
        <f t="shared" si="27"/>
        <v>221005</v>
      </c>
      <c r="B425" s="5" t="str">
        <f>"2022111503"</f>
        <v>2022111503</v>
      </c>
      <c r="C425" s="5" t="str">
        <f t="shared" si="28"/>
        <v>15</v>
      </c>
      <c r="D425" s="5" t="str">
        <f>"03"</f>
        <v>03</v>
      </c>
      <c r="E425" s="6">
        <v>97.5</v>
      </c>
      <c r="F425" s="6">
        <v>110.1</v>
      </c>
      <c r="G425" s="6">
        <v>69.2</v>
      </c>
      <c r="H425" s="6" t="s">
        <v>9</v>
      </c>
    </row>
    <row r="426" ht="20.1" customHeight="1" spans="1:8">
      <c r="A426" s="5" t="str">
        <f t="shared" si="27"/>
        <v>221005</v>
      </c>
      <c r="B426" s="5" t="str">
        <f>"2022111504"</f>
        <v>2022111504</v>
      </c>
      <c r="C426" s="5" t="str">
        <f t="shared" si="28"/>
        <v>15</v>
      </c>
      <c r="D426" s="5" t="str">
        <f>"04"</f>
        <v>04</v>
      </c>
      <c r="E426" s="6">
        <v>117</v>
      </c>
      <c r="F426" s="6">
        <v>102.9</v>
      </c>
      <c r="G426" s="6">
        <v>73.3</v>
      </c>
      <c r="H426" s="6" t="s">
        <v>9</v>
      </c>
    </row>
    <row r="427" ht="20.1" customHeight="1" spans="1:8">
      <c r="A427" s="5" t="str">
        <f t="shared" si="27"/>
        <v>221005</v>
      </c>
      <c r="B427" s="5" t="str">
        <f>"2022111505"</f>
        <v>2022111505</v>
      </c>
      <c r="C427" s="5" t="str">
        <f t="shared" si="28"/>
        <v>15</v>
      </c>
      <c r="D427" s="5" t="str">
        <f>"05"</f>
        <v>05</v>
      </c>
      <c r="E427" s="6">
        <v>118.5</v>
      </c>
      <c r="F427" s="6">
        <v>107.8</v>
      </c>
      <c r="G427" s="6">
        <v>75.4333333333333</v>
      </c>
      <c r="H427" s="6" t="s">
        <v>9</v>
      </c>
    </row>
    <row r="428" ht="20.1" customHeight="1" spans="1:8">
      <c r="A428" s="5" t="str">
        <f t="shared" si="27"/>
        <v>221005</v>
      </c>
      <c r="B428" s="5" t="str">
        <f>"2022111506"</f>
        <v>2022111506</v>
      </c>
      <c r="C428" s="5" t="str">
        <f t="shared" si="28"/>
        <v>15</v>
      </c>
      <c r="D428" s="5" t="str">
        <f>"06"</f>
        <v>06</v>
      </c>
      <c r="E428" s="6">
        <v>0</v>
      </c>
      <c r="F428" s="6">
        <v>0</v>
      </c>
      <c r="G428" s="6">
        <v>0</v>
      </c>
      <c r="H428" s="6" t="s">
        <v>10</v>
      </c>
    </row>
    <row r="429" ht="20.1" customHeight="1" spans="1:8">
      <c r="A429" s="5" t="str">
        <f t="shared" si="27"/>
        <v>221005</v>
      </c>
      <c r="B429" s="5" t="str">
        <f>"2022111507"</f>
        <v>2022111507</v>
      </c>
      <c r="C429" s="5" t="str">
        <f t="shared" si="28"/>
        <v>15</v>
      </c>
      <c r="D429" s="5" t="str">
        <f>"07"</f>
        <v>07</v>
      </c>
      <c r="E429" s="6">
        <v>0</v>
      </c>
      <c r="F429" s="6">
        <v>0</v>
      </c>
      <c r="G429" s="6">
        <v>0</v>
      </c>
      <c r="H429" s="6" t="s">
        <v>10</v>
      </c>
    </row>
    <row r="430" ht="20.1" customHeight="1" spans="1:8">
      <c r="A430" s="5" t="str">
        <f t="shared" si="27"/>
        <v>221005</v>
      </c>
      <c r="B430" s="5" t="str">
        <f>"2022111508"</f>
        <v>2022111508</v>
      </c>
      <c r="C430" s="5" t="str">
        <f t="shared" si="28"/>
        <v>15</v>
      </c>
      <c r="D430" s="5" t="str">
        <f>"08"</f>
        <v>08</v>
      </c>
      <c r="E430" s="6">
        <v>100.5</v>
      </c>
      <c r="F430" s="6">
        <v>106.6</v>
      </c>
      <c r="G430" s="6">
        <v>69.0333333333333</v>
      </c>
      <c r="H430" s="6" t="s">
        <v>9</v>
      </c>
    </row>
    <row r="431" ht="20.1" customHeight="1" spans="1:8">
      <c r="A431" s="5" t="str">
        <f t="shared" si="27"/>
        <v>221005</v>
      </c>
      <c r="B431" s="5" t="str">
        <f>"2022111509"</f>
        <v>2022111509</v>
      </c>
      <c r="C431" s="5" t="str">
        <f t="shared" si="28"/>
        <v>15</v>
      </c>
      <c r="D431" s="5" t="str">
        <f>"09"</f>
        <v>09</v>
      </c>
      <c r="E431" s="6">
        <v>0</v>
      </c>
      <c r="F431" s="6">
        <v>0</v>
      </c>
      <c r="G431" s="6">
        <v>0</v>
      </c>
      <c r="H431" s="6" t="s">
        <v>10</v>
      </c>
    </row>
    <row r="432" ht="20.1" customHeight="1" spans="1:8">
      <c r="A432" s="5" t="str">
        <f t="shared" si="27"/>
        <v>221005</v>
      </c>
      <c r="B432" s="5" t="str">
        <f>"2022111510"</f>
        <v>2022111510</v>
      </c>
      <c r="C432" s="5" t="str">
        <f t="shared" si="28"/>
        <v>15</v>
      </c>
      <c r="D432" s="5" t="str">
        <f>"10"</f>
        <v>10</v>
      </c>
      <c r="E432" s="6">
        <v>0</v>
      </c>
      <c r="F432" s="6">
        <v>0</v>
      </c>
      <c r="G432" s="6">
        <v>0</v>
      </c>
      <c r="H432" s="6" t="s">
        <v>10</v>
      </c>
    </row>
    <row r="433" ht="20.1" customHeight="1" spans="1:8">
      <c r="A433" s="5" t="str">
        <f t="shared" si="27"/>
        <v>221005</v>
      </c>
      <c r="B433" s="5" t="str">
        <f>"2022111511"</f>
        <v>2022111511</v>
      </c>
      <c r="C433" s="5" t="str">
        <f t="shared" si="28"/>
        <v>15</v>
      </c>
      <c r="D433" s="5" t="str">
        <f>"11"</f>
        <v>11</v>
      </c>
      <c r="E433" s="6">
        <v>115.5</v>
      </c>
      <c r="F433" s="6">
        <v>113.1</v>
      </c>
      <c r="G433" s="6">
        <v>76.2</v>
      </c>
      <c r="H433" s="6" t="s">
        <v>9</v>
      </c>
    </row>
    <row r="434" ht="20.1" customHeight="1" spans="1:8">
      <c r="A434" s="5" t="str">
        <f t="shared" si="27"/>
        <v>221005</v>
      </c>
      <c r="B434" s="5" t="str">
        <f>"2022111512"</f>
        <v>2022111512</v>
      </c>
      <c r="C434" s="5" t="str">
        <f t="shared" si="28"/>
        <v>15</v>
      </c>
      <c r="D434" s="5" t="str">
        <f>"12"</f>
        <v>12</v>
      </c>
      <c r="E434" s="6">
        <v>103.5</v>
      </c>
      <c r="F434" s="6">
        <v>97.1</v>
      </c>
      <c r="G434" s="6">
        <v>66.8666666666667</v>
      </c>
      <c r="H434" s="6" t="s">
        <v>9</v>
      </c>
    </row>
    <row r="435" ht="20.1" customHeight="1" spans="1:8">
      <c r="A435" s="5" t="str">
        <f t="shared" si="27"/>
        <v>221005</v>
      </c>
      <c r="B435" s="5" t="str">
        <f>"2022111513"</f>
        <v>2022111513</v>
      </c>
      <c r="C435" s="5" t="str">
        <f t="shared" si="28"/>
        <v>15</v>
      </c>
      <c r="D435" s="5" t="str">
        <f>"13"</f>
        <v>13</v>
      </c>
      <c r="E435" s="6">
        <v>105</v>
      </c>
      <c r="F435" s="6">
        <v>115.1</v>
      </c>
      <c r="G435" s="6">
        <v>73.3666666666667</v>
      </c>
      <c r="H435" s="6" t="s">
        <v>9</v>
      </c>
    </row>
    <row r="436" ht="20.1" customHeight="1" spans="1:8">
      <c r="A436" s="5" t="str">
        <f t="shared" si="27"/>
        <v>221005</v>
      </c>
      <c r="B436" s="5" t="str">
        <f>"2022111514"</f>
        <v>2022111514</v>
      </c>
      <c r="C436" s="5" t="str">
        <f t="shared" si="28"/>
        <v>15</v>
      </c>
      <c r="D436" s="5" t="str">
        <f>"14"</f>
        <v>14</v>
      </c>
      <c r="E436" s="6">
        <v>112.5</v>
      </c>
      <c r="F436" s="6">
        <v>108.3</v>
      </c>
      <c r="G436" s="6">
        <v>73.6</v>
      </c>
      <c r="H436" s="6" t="s">
        <v>9</v>
      </c>
    </row>
    <row r="437" ht="20.1" customHeight="1" spans="1:8">
      <c r="A437" s="5" t="str">
        <f t="shared" si="27"/>
        <v>221005</v>
      </c>
      <c r="B437" s="5" t="str">
        <f>"2022111515"</f>
        <v>2022111515</v>
      </c>
      <c r="C437" s="5" t="str">
        <f t="shared" si="28"/>
        <v>15</v>
      </c>
      <c r="D437" s="5" t="str">
        <f>"15"</f>
        <v>15</v>
      </c>
      <c r="E437" s="6">
        <v>0</v>
      </c>
      <c r="F437" s="6">
        <v>0</v>
      </c>
      <c r="G437" s="6">
        <v>0</v>
      </c>
      <c r="H437" s="6" t="s">
        <v>10</v>
      </c>
    </row>
    <row r="438" ht="20.1" customHeight="1" spans="1:8">
      <c r="A438" s="5" t="str">
        <f t="shared" si="27"/>
        <v>221005</v>
      </c>
      <c r="B438" s="5" t="str">
        <f>"2022111516"</f>
        <v>2022111516</v>
      </c>
      <c r="C438" s="5" t="str">
        <f t="shared" si="28"/>
        <v>15</v>
      </c>
      <c r="D438" s="5" t="str">
        <f>"16"</f>
        <v>16</v>
      </c>
      <c r="E438" s="6">
        <v>112.5</v>
      </c>
      <c r="F438" s="6">
        <v>108</v>
      </c>
      <c r="G438" s="6">
        <v>73.5</v>
      </c>
      <c r="H438" s="6" t="s">
        <v>9</v>
      </c>
    </row>
    <row r="439" ht="20.1" customHeight="1" spans="1:8">
      <c r="A439" s="5" t="str">
        <f t="shared" si="27"/>
        <v>221005</v>
      </c>
      <c r="B439" s="5" t="str">
        <f>"2022111517"</f>
        <v>2022111517</v>
      </c>
      <c r="C439" s="5" t="str">
        <f t="shared" si="28"/>
        <v>15</v>
      </c>
      <c r="D439" s="5" t="str">
        <f>"17"</f>
        <v>17</v>
      </c>
      <c r="E439" s="6">
        <v>114</v>
      </c>
      <c r="F439" s="6">
        <v>116.4</v>
      </c>
      <c r="G439" s="6">
        <v>76.8</v>
      </c>
      <c r="H439" s="6" t="s">
        <v>9</v>
      </c>
    </row>
    <row r="440" ht="20.1" customHeight="1" spans="1:8">
      <c r="A440" s="5" t="str">
        <f t="shared" si="27"/>
        <v>221005</v>
      </c>
      <c r="B440" s="5" t="str">
        <f>"2022111518"</f>
        <v>2022111518</v>
      </c>
      <c r="C440" s="5" t="str">
        <f t="shared" si="28"/>
        <v>15</v>
      </c>
      <c r="D440" s="5" t="str">
        <f>"18"</f>
        <v>18</v>
      </c>
      <c r="E440" s="6">
        <v>0</v>
      </c>
      <c r="F440" s="6">
        <v>0</v>
      </c>
      <c r="G440" s="6">
        <v>0</v>
      </c>
      <c r="H440" s="6" t="s">
        <v>10</v>
      </c>
    </row>
    <row r="441" ht="20.1" customHeight="1" spans="1:8">
      <c r="A441" s="5" t="str">
        <f t="shared" si="27"/>
        <v>221005</v>
      </c>
      <c r="B441" s="5" t="str">
        <f>"2022111519"</f>
        <v>2022111519</v>
      </c>
      <c r="C441" s="5" t="str">
        <f t="shared" si="28"/>
        <v>15</v>
      </c>
      <c r="D441" s="5" t="str">
        <f>"19"</f>
        <v>19</v>
      </c>
      <c r="E441" s="6">
        <v>111</v>
      </c>
      <c r="F441" s="6">
        <v>122.5</v>
      </c>
      <c r="G441" s="6">
        <v>77.8333333333333</v>
      </c>
      <c r="H441" s="6" t="s">
        <v>9</v>
      </c>
    </row>
    <row r="442" ht="20.1" customHeight="1" spans="1:8">
      <c r="A442" s="5" t="str">
        <f t="shared" si="27"/>
        <v>221005</v>
      </c>
      <c r="B442" s="5" t="str">
        <f>"2022111520"</f>
        <v>2022111520</v>
      </c>
      <c r="C442" s="5" t="str">
        <f t="shared" si="28"/>
        <v>15</v>
      </c>
      <c r="D442" s="5" t="str">
        <f>"20"</f>
        <v>20</v>
      </c>
      <c r="E442" s="6">
        <v>123</v>
      </c>
      <c r="F442" s="6">
        <v>112.8</v>
      </c>
      <c r="G442" s="6">
        <v>78.6</v>
      </c>
      <c r="H442" s="6" t="s">
        <v>9</v>
      </c>
    </row>
    <row r="443" ht="20.1" customHeight="1" spans="1:8">
      <c r="A443" s="5" t="str">
        <f t="shared" si="27"/>
        <v>221005</v>
      </c>
      <c r="B443" s="5" t="str">
        <f>"2022111521"</f>
        <v>2022111521</v>
      </c>
      <c r="C443" s="5" t="str">
        <f t="shared" si="28"/>
        <v>15</v>
      </c>
      <c r="D443" s="5" t="str">
        <f>"21"</f>
        <v>21</v>
      </c>
      <c r="E443" s="6">
        <v>112.5</v>
      </c>
      <c r="F443" s="6">
        <v>109.5</v>
      </c>
      <c r="G443" s="6">
        <v>74</v>
      </c>
      <c r="H443" s="6" t="s">
        <v>9</v>
      </c>
    </row>
    <row r="444" ht="20.1" customHeight="1" spans="1:8">
      <c r="A444" s="5" t="str">
        <f t="shared" si="27"/>
        <v>221005</v>
      </c>
      <c r="B444" s="5" t="str">
        <f>"2022111522"</f>
        <v>2022111522</v>
      </c>
      <c r="C444" s="5" t="str">
        <f t="shared" si="28"/>
        <v>15</v>
      </c>
      <c r="D444" s="5" t="str">
        <f>"22"</f>
        <v>22</v>
      </c>
      <c r="E444" s="6">
        <v>0</v>
      </c>
      <c r="F444" s="6">
        <v>0</v>
      </c>
      <c r="G444" s="6">
        <v>0</v>
      </c>
      <c r="H444" s="6" t="s">
        <v>10</v>
      </c>
    </row>
    <row r="445" ht="20.1" customHeight="1" spans="1:8">
      <c r="A445" s="5" t="str">
        <f t="shared" si="27"/>
        <v>221005</v>
      </c>
      <c r="B445" s="5" t="str">
        <f>"2022111523"</f>
        <v>2022111523</v>
      </c>
      <c r="C445" s="5" t="str">
        <f t="shared" si="28"/>
        <v>15</v>
      </c>
      <c r="D445" s="5" t="str">
        <f>"23"</f>
        <v>23</v>
      </c>
      <c r="E445" s="6">
        <v>103.5</v>
      </c>
      <c r="F445" s="6">
        <v>92</v>
      </c>
      <c r="G445" s="6">
        <v>65.1666666666667</v>
      </c>
      <c r="H445" s="6" t="s">
        <v>9</v>
      </c>
    </row>
    <row r="446" ht="20.1" customHeight="1" spans="1:8">
      <c r="A446" s="5" t="str">
        <f t="shared" si="27"/>
        <v>221005</v>
      </c>
      <c r="B446" s="5" t="str">
        <f>"2022111524"</f>
        <v>2022111524</v>
      </c>
      <c r="C446" s="5" t="str">
        <f t="shared" si="28"/>
        <v>15</v>
      </c>
      <c r="D446" s="5" t="str">
        <f>"24"</f>
        <v>24</v>
      </c>
      <c r="E446" s="6">
        <v>117</v>
      </c>
      <c r="F446" s="6">
        <v>115</v>
      </c>
      <c r="G446" s="6">
        <v>77.3333333333333</v>
      </c>
      <c r="H446" s="6" t="s">
        <v>9</v>
      </c>
    </row>
    <row r="447" ht="20.1" customHeight="1" spans="1:8">
      <c r="A447" s="5" t="str">
        <f t="shared" si="27"/>
        <v>221005</v>
      </c>
      <c r="B447" s="5" t="str">
        <f>"2022111525"</f>
        <v>2022111525</v>
      </c>
      <c r="C447" s="5" t="str">
        <f t="shared" si="28"/>
        <v>15</v>
      </c>
      <c r="D447" s="5" t="str">
        <f>"25"</f>
        <v>25</v>
      </c>
      <c r="E447" s="6">
        <v>108</v>
      </c>
      <c r="F447" s="6">
        <v>119.1</v>
      </c>
      <c r="G447" s="6">
        <v>75.7</v>
      </c>
      <c r="H447" s="6" t="s">
        <v>9</v>
      </c>
    </row>
    <row r="448" ht="20.1" customHeight="1" spans="1:8">
      <c r="A448" s="5" t="str">
        <f t="shared" si="27"/>
        <v>221005</v>
      </c>
      <c r="B448" s="5" t="str">
        <f>"2022111526"</f>
        <v>2022111526</v>
      </c>
      <c r="C448" s="5" t="str">
        <f t="shared" si="28"/>
        <v>15</v>
      </c>
      <c r="D448" s="5" t="str">
        <f>"26"</f>
        <v>26</v>
      </c>
      <c r="E448" s="6">
        <v>96</v>
      </c>
      <c r="F448" s="6">
        <v>77.7</v>
      </c>
      <c r="G448" s="6">
        <v>57.9</v>
      </c>
      <c r="H448" s="6" t="s">
        <v>9</v>
      </c>
    </row>
    <row r="449" ht="20.1" customHeight="1" spans="1:8">
      <c r="A449" s="5" t="str">
        <f t="shared" si="27"/>
        <v>221005</v>
      </c>
      <c r="B449" s="5" t="str">
        <f>"2022111527"</f>
        <v>2022111527</v>
      </c>
      <c r="C449" s="5" t="str">
        <f t="shared" si="28"/>
        <v>15</v>
      </c>
      <c r="D449" s="5" t="str">
        <f>"27"</f>
        <v>27</v>
      </c>
      <c r="E449" s="6">
        <v>111</v>
      </c>
      <c r="F449" s="6">
        <v>114.2</v>
      </c>
      <c r="G449" s="6">
        <v>75.0666666666667</v>
      </c>
      <c r="H449" s="6" t="s">
        <v>9</v>
      </c>
    </row>
    <row r="450" ht="20.1" customHeight="1" spans="1:8">
      <c r="A450" s="5" t="str">
        <f t="shared" si="27"/>
        <v>221005</v>
      </c>
      <c r="B450" s="5" t="str">
        <f>"2022111528"</f>
        <v>2022111528</v>
      </c>
      <c r="C450" s="5" t="str">
        <f t="shared" si="28"/>
        <v>15</v>
      </c>
      <c r="D450" s="5" t="str">
        <f>"28"</f>
        <v>28</v>
      </c>
      <c r="E450" s="6">
        <v>0</v>
      </c>
      <c r="F450" s="6">
        <v>0</v>
      </c>
      <c r="G450" s="6">
        <v>0</v>
      </c>
      <c r="H450" s="6" t="s">
        <v>10</v>
      </c>
    </row>
    <row r="451" ht="20.1" customHeight="1" spans="1:8">
      <c r="A451" s="5" t="str">
        <f t="shared" si="27"/>
        <v>221005</v>
      </c>
      <c r="B451" s="5" t="str">
        <f>"2022111529"</f>
        <v>2022111529</v>
      </c>
      <c r="C451" s="5" t="str">
        <f t="shared" si="28"/>
        <v>15</v>
      </c>
      <c r="D451" s="5" t="str">
        <f>"29"</f>
        <v>29</v>
      </c>
      <c r="E451" s="6">
        <v>126</v>
      </c>
      <c r="F451" s="6">
        <v>114.9</v>
      </c>
      <c r="G451" s="6">
        <v>80.3</v>
      </c>
      <c r="H451" s="7" t="s">
        <v>11</v>
      </c>
    </row>
    <row r="452" ht="20.1" customHeight="1" spans="1:8">
      <c r="A452" s="5" t="str">
        <f t="shared" si="27"/>
        <v>221005</v>
      </c>
      <c r="B452" s="5" t="str">
        <f>"2022111530"</f>
        <v>2022111530</v>
      </c>
      <c r="C452" s="5" t="str">
        <f t="shared" si="28"/>
        <v>15</v>
      </c>
      <c r="D452" s="5" t="str">
        <f>"30"</f>
        <v>30</v>
      </c>
      <c r="E452" s="6">
        <v>0</v>
      </c>
      <c r="F452" s="6">
        <v>0</v>
      </c>
      <c r="G452" s="6">
        <v>0</v>
      </c>
      <c r="H452" s="6" t="s">
        <v>10</v>
      </c>
    </row>
    <row r="453" ht="20.1" customHeight="1" spans="1:8">
      <c r="A453" s="5" t="str">
        <f t="shared" si="27"/>
        <v>221005</v>
      </c>
      <c r="B453" s="5" t="str">
        <f>"2022111601"</f>
        <v>2022111601</v>
      </c>
      <c r="C453" s="5" t="str">
        <f t="shared" ref="C453:C482" si="29">"16"</f>
        <v>16</v>
      </c>
      <c r="D453" s="5" t="str">
        <f>"01"</f>
        <v>01</v>
      </c>
      <c r="E453" s="6">
        <v>115.5</v>
      </c>
      <c r="F453" s="6">
        <v>95.7</v>
      </c>
      <c r="G453" s="6">
        <v>70.4</v>
      </c>
      <c r="H453" s="6" t="s">
        <v>9</v>
      </c>
    </row>
    <row r="454" ht="20.1" customHeight="1" spans="1:8">
      <c r="A454" s="5" t="str">
        <f t="shared" si="27"/>
        <v>221005</v>
      </c>
      <c r="B454" s="5" t="str">
        <f>"2022111602"</f>
        <v>2022111602</v>
      </c>
      <c r="C454" s="5" t="str">
        <f t="shared" si="29"/>
        <v>16</v>
      </c>
      <c r="D454" s="5" t="str">
        <f>"02"</f>
        <v>02</v>
      </c>
      <c r="E454" s="6">
        <v>0</v>
      </c>
      <c r="F454" s="6">
        <v>0</v>
      </c>
      <c r="G454" s="6">
        <v>0</v>
      </c>
      <c r="H454" s="6" t="s">
        <v>10</v>
      </c>
    </row>
    <row r="455" ht="20.1" customHeight="1" spans="1:8">
      <c r="A455" s="5" t="str">
        <f t="shared" si="27"/>
        <v>221005</v>
      </c>
      <c r="B455" s="5" t="str">
        <f>"2022111603"</f>
        <v>2022111603</v>
      </c>
      <c r="C455" s="5" t="str">
        <f t="shared" si="29"/>
        <v>16</v>
      </c>
      <c r="D455" s="5" t="str">
        <f>"03"</f>
        <v>03</v>
      </c>
      <c r="E455" s="6">
        <v>106.5</v>
      </c>
      <c r="F455" s="6">
        <v>110.4</v>
      </c>
      <c r="G455" s="6">
        <v>72.3</v>
      </c>
      <c r="H455" s="6" t="s">
        <v>9</v>
      </c>
    </row>
    <row r="456" ht="20.1" customHeight="1" spans="1:8">
      <c r="A456" s="5" t="str">
        <f t="shared" si="27"/>
        <v>221005</v>
      </c>
      <c r="B456" s="5" t="str">
        <f>"2022111604"</f>
        <v>2022111604</v>
      </c>
      <c r="C456" s="5" t="str">
        <f t="shared" si="29"/>
        <v>16</v>
      </c>
      <c r="D456" s="5" t="str">
        <f>"04"</f>
        <v>04</v>
      </c>
      <c r="E456" s="6">
        <v>0</v>
      </c>
      <c r="F456" s="6">
        <v>0</v>
      </c>
      <c r="G456" s="6">
        <v>0</v>
      </c>
      <c r="H456" s="6" t="s">
        <v>10</v>
      </c>
    </row>
    <row r="457" ht="20.1" customHeight="1" spans="1:8">
      <c r="A457" s="5" t="str">
        <f t="shared" si="27"/>
        <v>221005</v>
      </c>
      <c r="B457" s="5" t="str">
        <f>"2022111605"</f>
        <v>2022111605</v>
      </c>
      <c r="C457" s="5" t="str">
        <f t="shared" si="29"/>
        <v>16</v>
      </c>
      <c r="D457" s="5" t="str">
        <f>"05"</f>
        <v>05</v>
      </c>
      <c r="E457" s="6">
        <v>88.5</v>
      </c>
      <c r="F457" s="6">
        <v>110</v>
      </c>
      <c r="G457" s="6">
        <v>66.1666666666667</v>
      </c>
      <c r="H457" s="6" t="s">
        <v>9</v>
      </c>
    </row>
    <row r="458" ht="20.1" customHeight="1" spans="1:8">
      <c r="A458" s="5" t="str">
        <f t="shared" ref="A458:A521" si="30">"221006"</f>
        <v>221006</v>
      </c>
      <c r="B458" s="5" t="str">
        <f>"2022111606"</f>
        <v>2022111606</v>
      </c>
      <c r="C458" s="5" t="str">
        <f t="shared" si="29"/>
        <v>16</v>
      </c>
      <c r="D458" s="5" t="str">
        <f>"06"</f>
        <v>06</v>
      </c>
      <c r="E458" s="6">
        <v>108</v>
      </c>
      <c r="F458" s="6">
        <v>99.5</v>
      </c>
      <c r="G458" s="6">
        <v>69.1666666666667</v>
      </c>
      <c r="H458" s="6" t="s">
        <v>9</v>
      </c>
    </row>
    <row r="459" ht="20.1" customHeight="1" spans="1:8">
      <c r="A459" s="5" t="str">
        <f t="shared" si="30"/>
        <v>221006</v>
      </c>
      <c r="B459" s="5" t="str">
        <f>"2022111607"</f>
        <v>2022111607</v>
      </c>
      <c r="C459" s="5" t="str">
        <f t="shared" si="29"/>
        <v>16</v>
      </c>
      <c r="D459" s="5" t="str">
        <f>"07"</f>
        <v>07</v>
      </c>
      <c r="E459" s="6">
        <v>109.5</v>
      </c>
      <c r="F459" s="6">
        <v>110</v>
      </c>
      <c r="G459" s="6">
        <v>73.1666666666667</v>
      </c>
      <c r="H459" s="6" t="s">
        <v>9</v>
      </c>
    </row>
    <row r="460" ht="20.1" customHeight="1" spans="1:8">
      <c r="A460" s="5" t="str">
        <f t="shared" si="30"/>
        <v>221006</v>
      </c>
      <c r="B460" s="5" t="str">
        <f>"2022111608"</f>
        <v>2022111608</v>
      </c>
      <c r="C460" s="5" t="str">
        <f t="shared" si="29"/>
        <v>16</v>
      </c>
      <c r="D460" s="5" t="str">
        <f>"08"</f>
        <v>08</v>
      </c>
      <c r="E460" s="6">
        <v>0</v>
      </c>
      <c r="F460" s="6">
        <v>0</v>
      </c>
      <c r="G460" s="6">
        <v>0</v>
      </c>
      <c r="H460" s="6" t="s">
        <v>10</v>
      </c>
    </row>
    <row r="461" ht="20.1" customHeight="1" spans="1:8">
      <c r="A461" s="5" t="str">
        <f t="shared" si="30"/>
        <v>221006</v>
      </c>
      <c r="B461" s="5" t="str">
        <f>"2022111609"</f>
        <v>2022111609</v>
      </c>
      <c r="C461" s="5" t="str">
        <f t="shared" si="29"/>
        <v>16</v>
      </c>
      <c r="D461" s="5" t="str">
        <f>"09"</f>
        <v>09</v>
      </c>
      <c r="E461" s="6">
        <v>105</v>
      </c>
      <c r="F461" s="6">
        <v>93.8</v>
      </c>
      <c r="G461" s="6">
        <v>66.2666666666667</v>
      </c>
      <c r="H461" s="6" t="s">
        <v>9</v>
      </c>
    </row>
    <row r="462" ht="20.1" customHeight="1" spans="1:8">
      <c r="A462" s="5" t="str">
        <f t="shared" si="30"/>
        <v>221006</v>
      </c>
      <c r="B462" s="5" t="str">
        <f>"2022111610"</f>
        <v>2022111610</v>
      </c>
      <c r="C462" s="5" t="str">
        <f t="shared" si="29"/>
        <v>16</v>
      </c>
      <c r="D462" s="5" t="str">
        <f>"10"</f>
        <v>10</v>
      </c>
      <c r="E462" s="6">
        <v>102</v>
      </c>
      <c r="F462" s="6">
        <v>105.4</v>
      </c>
      <c r="G462" s="6">
        <v>69.1333333333333</v>
      </c>
      <c r="H462" s="6" t="s">
        <v>9</v>
      </c>
    </row>
    <row r="463" ht="20.1" customHeight="1" spans="1:8">
      <c r="A463" s="5" t="str">
        <f t="shared" si="30"/>
        <v>221006</v>
      </c>
      <c r="B463" s="5" t="str">
        <f>"2022111611"</f>
        <v>2022111611</v>
      </c>
      <c r="C463" s="5" t="str">
        <f t="shared" si="29"/>
        <v>16</v>
      </c>
      <c r="D463" s="5" t="str">
        <f>"11"</f>
        <v>11</v>
      </c>
      <c r="E463" s="6">
        <v>0</v>
      </c>
      <c r="F463" s="6">
        <v>0</v>
      </c>
      <c r="G463" s="6">
        <v>0</v>
      </c>
      <c r="H463" s="6" t="s">
        <v>10</v>
      </c>
    </row>
    <row r="464" ht="20.1" customHeight="1" spans="1:8">
      <c r="A464" s="5" t="str">
        <f t="shared" si="30"/>
        <v>221006</v>
      </c>
      <c r="B464" s="5" t="str">
        <f>"2022111612"</f>
        <v>2022111612</v>
      </c>
      <c r="C464" s="5" t="str">
        <f t="shared" si="29"/>
        <v>16</v>
      </c>
      <c r="D464" s="5" t="str">
        <f>"12"</f>
        <v>12</v>
      </c>
      <c r="E464" s="6">
        <v>130.5</v>
      </c>
      <c r="F464" s="6">
        <v>112.6</v>
      </c>
      <c r="G464" s="6">
        <v>81.0333333333333</v>
      </c>
      <c r="H464" s="6" t="s">
        <v>9</v>
      </c>
    </row>
    <row r="465" ht="20.1" customHeight="1" spans="1:8">
      <c r="A465" s="5" t="str">
        <f t="shared" si="30"/>
        <v>221006</v>
      </c>
      <c r="B465" s="5" t="str">
        <f>"2022111613"</f>
        <v>2022111613</v>
      </c>
      <c r="C465" s="5" t="str">
        <f t="shared" si="29"/>
        <v>16</v>
      </c>
      <c r="D465" s="5" t="str">
        <f>"13"</f>
        <v>13</v>
      </c>
      <c r="E465" s="6">
        <v>109.5</v>
      </c>
      <c r="F465" s="6">
        <v>93.8</v>
      </c>
      <c r="G465" s="6">
        <v>67.7666666666667</v>
      </c>
      <c r="H465" s="6" t="s">
        <v>9</v>
      </c>
    </row>
    <row r="466" ht="20.1" customHeight="1" spans="1:8">
      <c r="A466" s="5" t="str">
        <f t="shared" si="30"/>
        <v>221006</v>
      </c>
      <c r="B466" s="5" t="str">
        <f>"2022111614"</f>
        <v>2022111614</v>
      </c>
      <c r="C466" s="5" t="str">
        <f t="shared" si="29"/>
        <v>16</v>
      </c>
      <c r="D466" s="5" t="str">
        <f>"14"</f>
        <v>14</v>
      </c>
      <c r="E466" s="6">
        <v>109.5</v>
      </c>
      <c r="F466" s="6">
        <v>115.7</v>
      </c>
      <c r="G466" s="6">
        <v>75.0666666666667</v>
      </c>
      <c r="H466" s="6" t="s">
        <v>9</v>
      </c>
    </row>
    <row r="467" ht="20.1" customHeight="1" spans="1:8">
      <c r="A467" s="5" t="str">
        <f t="shared" si="30"/>
        <v>221006</v>
      </c>
      <c r="B467" s="5" t="str">
        <f>"2022111615"</f>
        <v>2022111615</v>
      </c>
      <c r="C467" s="5" t="str">
        <f t="shared" si="29"/>
        <v>16</v>
      </c>
      <c r="D467" s="5" t="str">
        <f>"15"</f>
        <v>15</v>
      </c>
      <c r="E467" s="6">
        <v>0</v>
      </c>
      <c r="F467" s="6">
        <v>0</v>
      </c>
      <c r="G467" s="6">
        <v>0</v>
      </c>
      <c r="H467" s="6" t="s">
        <v>10</v>
      </c>
    </row>
    <row r="468" ht="20.1" customHeight="1" spans="1:8">
      <c r="A468" s="5" t="str">
        <f t="shared" si="30"/>
        <v>221006</v>
      </c>
      <c r="B468" s="5" t="str">
        <f>"2022111616"</f>
        <v>2022111616</v>
      </c>
      <c r="C468" s="5" t="str">
        <f t="shared" si="29"/>
        <v>16</v>
      </c>
      <c r="D468" s="5" t="str">
        <f>"16"</f>
        <v>16</v>
      </c>
      <c r="E468" s="6">
        <v>117</v>
      </c>
      <c r="F468" s="6">
        <v>104.8</v>
      </c>
      <c r="G468" s="6">
        <v>73.9333333333333</v>
      </c>
      <c r="H468" s="6" t="s">
        <v>9</v>
      </c>
    </row>
    <row r="469" ht="20.1" customHeight="1" spans="1:8">
      <c r="A469" s="5" t="str">
        <f t="shared" si="30"/>
        <v>221006</v>
      </c>
      <c r="B469" s="5" t="str">
        <f>"2022111617"</f>
        <v>2022111617</v>
      </c>
      <c r="C469" s="5" t="str">
        <f t="shared" si="29"/>
        <v>16</v>
      </c>
      <c r="D469" s="5" t="str">
        <f>"17"</f>
        <v>17</v>
      </c>
      <c r="E469" s="6">
        <v>0</v>
      </c>
      <c r="F469" s="6">
        <v>0</v>
      </c>
      <c r="G469" s="6">
        <v>0</v>
      </c>
      <c r="H469" s="6" t="s">
        <v>10</v>
      </c>
    </row>
    <row r="470" ht="20.1" customHeight="1" spans="1:8">
      <c r="A470" s="5" t="str">
        <f t="shared" si="30"/>
        <v>221006</v>
      </c>
      <c r="B470" s="5" t="str">
        <f>"2022111618"</f>
        <v>2022111618</v>
      </c>
      <c r="C470" s="5" t="str">
        <f t="shared" si="29"/>
        <v>16</v>
      </c>
      <c r="D470" s="5" t="str">
        <f>"18"</f>
        <v>18</v>
      </c>
      <c r="E470" s="6">
        <v>118.5</v>
      </c>
      <c r="F470" s="6">
        <v>110.8</v>
      </c>
      <c r="G470" s="6">
        <v>76.4333333333333</v>
      </c>
      <c r="H470" s="6" t="s">
        <v>9</v>
      </c>
    </row>
    <row r="471" ht="20.1" customHeight="1" spans="1:8">
      <c r="A471" s="5" t="str">
        <f t="shared" si="30"/>
        <v>221006</v>
      </c>
      <c r="B471" s="5" t="str">
        <f>"2022111619"</f>
        <v>2022111619</v>
      </c>
      <c r="C471" s="5" t="str">
        <f t="shared" si="29"/>
        <v>16</v>
      </c>
      <c r="D471" s="5" t="str">
        <f>"19"</f>
        <v>19</v>
      </c>
      <c r="E471" s="6">
        <v>0</v>
      </c>
      <c r="F471" s="6">
        <v>0</v>
      </c>
      <c r="G471" s="6">
        <v>0</v>
      </c>
      <c r="H471" s="6" t="s">
        <v>10</v>
      </c>
    </row>
    <row r="472" ht="20.1" customHeight="1" spans="1:8">
      <c r="A472" s="5" t="str">
        <f t="shared" si="30"/>
        <v>221006</v>
      </c>
      <c r="B472" s="5" t="str">
        <f>"2022111620"</f>
        <v>2022111620</v>
      </c>
      <c r="C472" s="5" t="str">
        <f t="shared" si="29"/>
        <v>16</v>
      </c>
      <c r="D472" s="5" t="str">
        <f>"20"</f>
        <v>20</v>
      </c>
      <c r="E472" s="6">
        <v>93</v>
      </c>
      <c r="F472" s="6">
        <v>114.5</v>
      </c>
      <c r="G472" s="6">
        <v>69.1666666666667</v>
      </c>
      <c r="H472" s="6" t="s">
        <v>9</v>
      </c>
    </row>
    <row r="473" ht="20.1" customHeight="1" spans="1:8">
      <c r="A473" s="5" t="str">
        <f t="shared" si="30"/>
        <v>221006</v>
      </c>
      <c r="B473" s="5" t="str">
        <f>"2022111621"</f>
        <v>2022111621</v>
      </c>
      <c r="C473" s="5" t="str">
        <f t="shared" si="29"/>
        <v>16</v>
      </c>
      <c r="D473" s="5" t="str">
        <f>"21"</f>
        <v>21</v>
      </c>
      <c r="E473" s="6">
        <v>114</v>
      </c>
      <c r="F473" s="6">
        <v>103.2</v>
      </c>
      <c r="G473" s="6">
        <v>72.4</v>
      </c>
      <c r="H473" s="6" t="s">
        <v>9</v>
      </c>
    </row>
    <row r="474" ht="20.1" customHeight="1" spans="1:8">
      <c r="A474" s="5" t="str">
        <f t="shared" si="30"/>
        <v>221006</v>
      </c>
      <c r="B474" s="5" t="str">
        <f>"2022111622"</f>
        <v>2022111622</v>
      </c>
      <c r="C474" s="5" t="str">
        <f t="shared" si="29"/>
        <v>16</v>
      </c>
      <c r="D474" s="5" t="str">
        <f>"22"</f>
        <v>22</v>
      </c>
      <c r="E474" s="6">
        <v>127.5</v>
      </c>
      <c r="F474" s="6">
        <v>109.5</v>
      </c>
      <c r="G474" s="6">
        <v>79</v>
      </c>
      <c r="H474" s="6" t="s">
        <v>9</v>
      </c>
    </row>
    <row r="475" ht="20.1" customHeight="1" spans="1:8">
      <c r="A475" s="5" t="str">
        <f t="shared" si="30"/>
        <v>221006</v>
      </c>
      <c r="B475" s="5" t="str">
        <f>"2022111623"</f>
        <v>2022111623</v>
      </c>
      <c r="C475" s="5" t="str">
        <f t="shared" si="29"/>
        <v>16</v>
      </c>
      <c r="D475" s="5" t="str">
        <f>"23"</f>
        <v>23</v>
      </c>
      <c r="E475" s="6">
        <v>102</v>
      </c>
      <c r="F475" s="6">
        <v>108.5</v>
      </c>
      <c r="G475" s="6">
        <v>70.1666666666667</v>
      </c>
      <c r="H475" s="6" t="s">
        <v>9</v>
      </c>
    </row>
    <row r="476" ht="20.1" customHeight="1" spans="1:8">
      <c r="A476" s="5" t="str">
        <f t="shared" si="30"/>
        <v>221006</v>
      </c>
      <c r="B476" s="5" t="str">
        <f>"2022111624"</f>
        <v>2022111624</v>
      </c>
      <c r="C476" s="5" t="str">
        <f t="shared" si="29"/>
        <v>16</v>
      </c>
      <c r="D476" s="5" t="str">
        <f>"24"</f>
        <v>24</v>
      </c>
      <c r="E476" s="6">
        <v>0</v>
      </c>
      <c r="F476" s="6">
        <v>0</v>
      </c>
      <c r="G476" s="6">
        <v>0</v>
      </c>
      <c r="H476" s="6" t="s">
        <v>10</v>
      </c>
    </row>
    <row r="477" ht="20.1" customHeight="1" spans="1:8">
      <c r="A477" s="5" t="str">
        <f t="shared" si="30"/>
        <v>221006</v>
      </c>
      <c r="B477" s="5" t="str">
        <f>"2022111625"</f>
        <v>2022111625</v>
      </c>
      <c r="C477" s="5" t="str">
        <f t="shared" si="29"/>
        <v>16</v>
      </c>
      <c r="D477" s="5" t="str">
        <f>"25"</f>
        <v>25</v>
      </c>
      <c r="E477" s="6">
        <v>112.5</v>
      </c>
      <c r="F477" s="6">
        <v>98.7</v>
      </c>
      <c r="G477" s="6">
        <v>70.4</v>
      </c>
      <c r="H477" s="6" t="s">
        <v>9</v>
      </c>
    </row>
    <row r="478" ht="20.1" customHeight="1" spans="1:8">
      <c r="A478" s="5" t="str">
        <f t="shared" si="30"/>
        <v>221006</v>
      </c>
      <c r="B478" s="5" t="str">
        <f>"2022111626"</f>
        <v>2022111626</v>
      </c>
      <c r="C478" s="5" t="str">
        <f t="shared" si="29"/>
        <v>16</v>
      </c>
      <c r="D478" s="5" t="str">
        <f>"26"</f>
        <v>26</v>
      </c>
      <c r="E478" s="6">
        <v>0</v>
      </c>
      <c r="F478" s="6">
        <v>0</v>
      </c>
      <c r="G478" s="6">
        <v>0</v>
      </c>
      <c r="H478" s="6" t="s">
        <v>10</v>
      </c>
    </row>
    <row r="479" ht="20.1" customHeight="1" spans="1:8">
      <c r="A479" s="5" t="str">
        <f t="shared" si="30"/>
        <v>221006</v>
      </c>
      <c r="B479" s="5" t="str">
        <f>"2022111627"</f>
        <v>2022111627</v>
      </c>
      <c r="C479" s="5" t="str">
        <f t="shared" si="29"/>
        <v>16</v>
      </c>
      <c r="D479" s="5" t="str">
        <f>"27"</f>
        <v>27</v>
      </c>
      <c r="E479" s="6">
        <v>115.5</v>
      </c>
      <c r="F479" s="6">
        <v>103</v>
      </c>
      <c r="G479" s="6">
        <v>72.8333333333333</v>
      </c>
      <c r="H479" s="6" t="s">
        <v>9</v>
      </c>
    </row>
    <row r="480" ht="20.1" customHeight="1" spans="1:8">
      <c r="A480" s="5" t="str">
        <f t="shared" si="30"/>
        <v>221006</v>
      </c>
      <c r="B480" s="5" t="str">
        <f>"2022111628"</f>
        <v>2022111628</v>
      </c>
      <c r="C480" s="5" t="str">
        <f t="shared" si="29"/>
        <v>16</v>
      </c>
      <c r="D480" s="5" t="str">
        <f>"28"</f>
        <v>28</v>
      </c>
      <c r="E480" s="6">
        <v>118.5</v>
      </c>
      <c r="F480" s="6">
        <v>92.6</v>
      </c>
      <c r="G480" s="6">
        <v>70.3666666666667</v>
      </c>
      <c r="H480" s="6" t="s">
        <v>9</v>
      </c>
    </row>
    <row r="481" ht="20.1" customHeight="1" spans="1:8">
      <c r="A481" s="5" t="str">
        <f t="shared" si="30"/>
        <v>221006</v>
      </c>
      <c r="B481" s="5" t="str">
        <f>"2022111629"</f>
        <v>2022111629</v>
      </c>
      <c r="C481" s="5" t="str">
        <f t="shared" si="29"/>
        <v>16</v>
      </c>
      <c r="D481" s="5" t="str">
        <f>"29"</f>
        <v>29</v>
      </c>
      <c r="E481" s="6">
        <v>112.5</v>
      </c>
      <c r="F481" s="6">
        <v>106.8</v>
      </c>
      <c r="G481" s="6">
        <v>73.1</v>
      </c>
      <c r="H481" s="6" t="s">
        <v>9</v>
      </c>
    </row>
    <row r="482" ht="20.1" customHeight="1" spans="1:8">
      <c r="A482" s="5" t="str">
        <f t="shared" si="30"/>
        <v>221006</v>
      </c>
      <c r="B482" s="5" t="str">
        <f>"2022111630"</f>
        <v>2022111630</v>
      </c>
      <c r="C482" s="5" t="str">
        <f t="shared" si="29"/>
        <v>16</v>
      </c>
      <c r="D482" s="5" t="str">
        <f>"30"</f>
        <v>30</v>
      </c>
      <c r="E482" s="6">
        <v>90</v>
      </c>
      <c r="F482" s="6">
        <v>85.7</v>
      </c>
      <c r="G482" s="6">
        <v>58.5666666666667</v>
      </c>
      <c r="H482" s="6" t="s">
        <v>9</v>
      </c>
    </row>
    <row r="483" ht="20.1" customHeight="1" spans="1:8">
      <c r="A483" s="5" t="str">
        <f t="shared" si="30"/>
        <v>221006</v>
      </c>
      <c r="B483" s="5" t="str">
        <f>"2022111701"</f>
        <v>2022111701</v>
      </c>
      <c r="C483" s="5" t="str">
        <f t="shared" ref="C483:C512" si="31">"17"</f>
        <v>17</v>
      </c>
      <c r="D483" s="5" t="str">
        <f>"01"</f>
        <v>01</v>
      </c>
      <c r="E483" s="6">
        <v>115.5</v>
      </c>
      <c r="F483" s="6">
        <v>115.6</v>
      </c>
      <c r="G483" s="6">
        <v>77.0333333333333</v>
      </c>
      <c r="H483" s="6" t="s">
        <v>9</v>
      </c>
    </row>
    <row r="484" ht="20.1" customHeight="1" spans="1:8">
      <c r="A484" s="5" t="str">
        <f t="shared" si="30"/>
        <v>221006</v>
      </c>
      <c r="B484" s="5" t="str">
        <f>"2022111702"</f>
        <v>2022111702</v>
      </c>
      <c r="C484" s="5" t="str">
        <f t="shared" si="31"/>
        <v>17</v>
      </c>
      <c r="D484" s="5" t="str">
        <f>"02"</f>
        <v>02</v>
      </c>
      <c r="E484" s="6">
        <v>0</v>
      </c>
      <c r="F484" s="6">
        <v>0</v>
      </c>
      <c r="G484" s="6">
        <v>0</v>
      </c>
      <c r="H484" s="6" t="s">
        <v>10</v>
      </c>
    </row>
    <row r="485" ht="20.1" customHeight="1" spans="1:8">
      <c r="A485" s="5" t="str">
        <f t="shared" si="30"/>
        <v>221006</v>
      </c>
      <c r="B485" s="5" t="str">
        <f>"2022111703"</f>
        <v>2022111703</v>
      </c>
      <c r="C485" s="5" t="str">
        <f t="shared" si="31"/>
        <v>17</v>
      </c>
      <c r="D485" s="5" t="str">
        <f>"03"</f>
        <v>03</v>
      </c>
      <c r="E485" s="6">
        <v>127.5</v>
      </c>
      <c r="F485" s="6">
        <v>105.9</v>
      </c>
      <c r="G485" s="6">
        <v>77.8</v>
      </c>
      <c r="H485" s="6" t="s">
        <v>9</v>
      </c>
    </row>
    <row r="486" ht="20.1" customHeight="1" spans="1:8">
      <c r="A486" s="5" t="str">
        <f t="shared" si="30"/>
        <v>221006</v>
      </c>
      <c r="B486" s="5" t="str">
        <f>"2022111704"</f>
        <v>2022111704</v>
      </c>
      <c r="C486" s="5" t="str">
        <f t="shared" si="31"/>
        <v>17</v>
      </c>
      <c r="D486" s="5" t="str">
        <f>"04"</f>
        <v>04</v>
      </c>
      <c r="E486" s="6">
        <v>0</v>
      </c>
      <c r="F486" s="6">
        <v>0</v>
      </c>
      <c r="G486" s="6">
        <v>0</v>
      </c>
      <c r="H486" s="6" t="s">
        <v>10</v>
      </c>
    </row>
    <row r="487" ht="20.1" customHeight="1" spans="1:8">
      <c r="A487" s="5" t="str">
        <f t="shared" si="30"/>
        <v>221006</v>
      </c>
      <c r="B487" s="5" t="str">
        <f>"2022111705"</f>
        <v>2022111705</v>
      </c>
      <c r="C487" s="5" t="str">
        <f t="shared" si="31"/>
        <v>17</v>
      </c>
      <c r="D487" s="5" t="str">
        <f>"05"</f>
        <v>05</v>
      </c>
      <c r="E487" s="6">
        <v>102</v>
      </c>
      <c r="F487" s="6">
        <v>99.6</v>
      </c>
      <c r="G487" s="6">
        <v>67.2</v>
      </c>
      <c r="H487" s="6" t="s">
        <v>9</v>
      </c>
    </row>
    <row r="488" ht="20.1" customHeight="1" spans="1:8">
      <c r="A488" s="5" t="str">
        <f t="shared" si="30"/>
        <v>221006</v>
      </c>
      <c r="B488" s="5" t="str">
        <f>"2022111706"</f>
        <v>2022111706</v>
      </c>
      <c r="C488" s="5" t="str">
        <f t="shared" si="31"/>
        <v>17</v>
      </c>
      <c r="D488" s="5" t="str">
        <f>"06"</f>
        <v>06</v>
      </c>
      <c r="E488" s="6">
        <v>0</v>
      </c>
      <c r="F488" s="6">
        <v>0</v>
      </c>
      <c r="G488" s="6">
        <v>0</v>
      </c>
      <c r="H488" s="6" t="s">
        <v>10</v>
      </c>
    </row>
    <row r="489" ht="20.1" customHeight="1" spans="1:8">
      <c r="A489" s="5" t="str">
        <f t="shared" si="30"/>
        <v>221006</v>
      </c>
      <c r="B489" s="5" t="str">
        <f>"2022111707"</f>
        <v>2022111707</v>
      </c>
      <c r="C489" s="5" t="str">
        <f t="shared" si="31"/>
        <v>17</v>
      </c>
      <c r="D489" s="5" t="str">
        <f>"07"</f>
        <v>07</v>
      </c>
      <c r="E489" s="6">
        <v>103.5</v>
      </c>
      <c r="F489" s="6">
        <v>106.8</v>
      </c>
      <c r="G489" s="6">
        <v>70.1</v>
      </c>
      <c r="H489" s="6" t="s">
        <v>9</v>
      </c>
    </row>
    <row r="490" ht="20.1" customHeight="1" spans="1:8">
      <c r="A490" s="5" t="str">
        <f t="shared" si="30"/>
        <v>221006</v>
      </c>
      <c r="B490" s="5" t="str">
        <f>"2022111708"</f>
        <v>2022111708</v>
      </c>
      <c r="C490" s="5" t="str">
        <f t="shared" si="31"/>
        <v>17</v>
      </c>
      <c r="D490" s="5" t="str">
        <f>"08"</f>
        <v>08</v>
      </c>
      <c r="E490" s="6">
        <v>105</v>
      </c>
      <c r="F490" s="6">
        <v>109.4</v>
      </c>
      <c r="G490" s="6">
        <v>71.4666666666667</v>
      </c>
      <c r="H490" s="6" t="s">
        <v>9</v>
      </c>
    </row>
    <row r="491" ht="20.1" customHeight="1" spans="1:8">
      <c r="A491" s="5" t="str">
        <f t="shared" si="30"/>
        <v>221006</v>
      </c>
      <c r="B491" s="5" t="str">
        <f>"2022111709"</f>
        <v>2022111709</v>
      </c>
      <c r="C491" s="5" t="str">
        <f t="shared" si="31"/>
        <v>17</v>
      </c>
      <c r="D491" s="5" t="str">
        <f>"09"</f>
        <v>09</v>
      </c>
      <c r="E491" s="6">
        <v>0</v>
      </c>
      <c r="F491" s="6">
        <v>0</v>
      </c>
      <c r="G491" s="6">
        <v>0</v>
      </c>
      <c r="H491" s="6" t="s">
        <v>10</v>
      </c>
    </row>
    <row r="492" ht="20.1" customHeight="1" spans="1:8">
      <c r="A492" s="5" t="str">
        <f t="shared" si="30"/>
        <v>221006</v>
      </c>
      <c r="B492" s="5" t="str">
        <f>"2022111710"</f>
        <v>2022111710</v>
      </c>
      <c r="C492" s="5" t="str">
        <f t="shared" si="31"/>
        <v>17</v>
      </c>
      <c r="D492" s="5" t="str">
        <f>"10"</f>
        <v>10</v>
      </c>
      <c r="E492" s="6">
        <v>106.5</v>
      </c>
      <c r="F492" s="6">
        <v>88.5</v>
      </c>
      <c r="G492" s="6">
        <v>65</v>
      </c>
      <c r="H492" s="6" t="s">
        <v>9</v>
      </c>
    </row>
    <row r="493" ht="20.1" customHeight="1" spans="1:8">
      <c r="A493" s="5" t="str">
        <f t="shared" si="30"/>
        <v>221006</v>
      </c>
      <c r="B493" s="5" t="str">
        <f>"2022111711"</f>
        <v>2022111711</v>
      </c>
      <c r="C493" s="5" t="str">
        <f t="shared" si="31"/>
        <v>17</v>
      </c>
      <c r="D493" s="5" t="str">
        <f>"11"</f>
        <v>11</v>
      </c>
      <c r="E493" s="6">
        <v>100.5</v>
      </c>
      <c r="F493" s="6">
        <v>110.1</v>
      </c>
      <c r="G493" s="6">
        <v>70.2</v>
      </c>
      <c r="H493" s="6" t="s">
        <v>9</v>
      </c>
    </row>
    <row r="494" ht="20.1" customHeight="1" spans="1:8">
      <c r="A494" s="5" t="str">
        <f t="shared" si="30"/>
        <v>221006</v>
      </c>
      <c r="B494" s="5" t="str">
        <f>"2022111712"</f>
        <v>2022111712</v>
      </c>
      <c r="C494" s="5" t="str">
        <f t="shared" si="31"/>
        <v>17</v>
      </c>
      <c r="D494" s="5" t="str">
        <f>"12"</f>
        <v>12</v>
      </c>
      <c r="E494" s="6">
        <v>0</v>
      </c>
      <c r="F494" s="6">
        <v>0</v>
      </c>
      <c r="G494" s="6">
        <v>0</v>
      </c>
      <c r="H494" s="6" t="s">
        <v>10</v>
      </c>
    </row>
    <row r="495" ht="20.1" customHeight="1" spans="1:8">
      <c r="A495" s="5" t="str">
        <f t="shared" si="30"/>
        <v>221006</v>
      </c>
      <c r="B495" s="5" t="str">
        <f>"2022111713"</f>
        <v>2022111713</v>
      </c>
      <c r="C495" s="5" t="str">
        <f t="shared" si="31"/>
        <v>17</v>
      </c>
      <c r="D495" s="5" t="str">
        <f>"13"</f>
        <v>13</v>
      </c>
      <c r="E495" s="6">
        <v>0</v>
      </c>
      <c r="F495" s="6">
        <v>0</v>
      </c>
      <c r="G495" s="6">
        <v>0</v>
      </c>
      <c r="H495" s="6" t="s">
        <v>10</v>
      </c>
    </row>
    <row r="496" ht="20.1" customHeight="1" spans="1:8">
      <c r="A496" s="5" t="str">
        <f t="shared" si="30"/>
        <v>221006</v>
      </c>
      <c r="B496" s="5" t="str">
        <f>"2022111714"</f>
        <v>2022111714</v>
      </c>
      <c r="C496" s="5" t="str">
        <f t="shared" si="31"/>
        <v>17</v>
      </c>
      <c r="D496" s="5" t="str">
        <f>"14"</f>
        <v>14</v>
      </c>
      <c r="E496" s="6">
        <v>0</v>
      </c>
      <c r="F496" s="6">
        <v>0</v>
      </c>
      <c r="G496" s="6">
        <v>0</v>
      </c>
      <c r="H496" s="6" t="s">
        <v>10</v>
      </c>
    </row>
    <row r="497" ht="20.1" customHeight="1" spans="1:8">
      <c r="A497" s="5" t="str">
        <f t="shared" si="30"/>
        <v>221006</v>
      </c>
      <c r="B497" s="5" t="str">
        <f>"2022111715"</f>
        <v>2022111715</v>
      </c>
      <c r="C497" s="5" t="str">
        <f t="shared" si="31"/>
        <v>17</v>
      </c>
      <c r="D497" s="5" t="str">
        <f>"15"</f>
        <v>15</v>
      </c>
      <c r="E497" s="6">
        <v>108</v>
      </c>
      <c r="F497" s="6">
        <v>107.3</v>
      </c>
      <c r="G497" s="6">
        <v>71.7666666666667</v>
      </c>
      <c r="H497" s="6" t="s">
        <v>9</v>
      </c>
    </row>
    <row r="498" ht="20.1" customHeight="1" spans="1:8">
      <c r="A498" s="5" t="str">
        <f t="shared" si="30"/>
        <v>221006</v>
      </c>
      <c r="B498" s="5" t="str">
        <f>"2022111716"</f>
        <v>2022111716</v>
      </c>
      <c r="C498" s="5" t="str">
        <f t="shared" si="31"/>
        <v>17</v>
      </c>
      <c r="D498" s="5" t="str">
        <f>"16"</f>
        <v>16</v>
      </c>
      <c r="E498" s="6">
        <v>112.5</v>
      </c>
      <c r="F498" s="6">
        <v>111.8</v>
      </c>
      <c r="G498" s="6">
        <v>74.7666666666667</v>
      </c>
      <c r="H498" s="6" t="s">
        <v>9</v>
      </c>
    </row>
    <row r="499" ht="20.1" customHeight="1" spans="1:8">
      <c r="A499" s="5" t="str">
        <f t="shared" si="30"/>
        <v>221006</v>
      </c>
      <c r="B499" s="5" t="str">
        <f>"2022111717"</f>
        <v>2022111717</v>
      </c>
      <c r="C499" s="5" t="str">
        <f t="shared" si="31"/>
        <v>17</v>
      </c>
      <c r="D499" s="5" t="str">
        <f>"17"</f>
        <v>17</v>
      </c>
      <c r="E499" s="6">
        <v>0</v>
      </c>
      <c r="F499" s="6">
        <v>0</v>
      </c>
      <c r="G499" s="6">
        <v>0</v>
      </c>
      <c r="H499" s="6" t="s">
        <v>10</v>
      </c>
    </row>
    <row r="500" ht="20.1" customHeight="1" spans="1:8">
      <c r="A500" s="5" t="str">
        <f t="shared" si="30"/>
        <v>221006</v>
      </c>
      <c r="B500" s="5" t="str">
        <f>"2022111718"</f>
        <v>2022111718</v>
      </c>
      <c r="C500" s="5" t="str">
        <f t="shared" si="31"/>
        <v>17</v>
      </c>
      <c r="D500" s="5" t="str">
        <f>"18"</f>
        <v>18</v>
      </c>
      <c r="E500" s="6">
        <v>114</v>
      </c>
      <c r="F500" s="6">
        <v>113.4</v>
      </c>
      <c r="G500" s="6">
        <v>75.8</v>
      </c>
      <c r="H500" s="6" t="s">
        <v>9</v>
      </c>
    </row>
    <row r="501" ht="20.1" customHeight="1" spans="1:8">
      <c r="A501" s="5" t="str">
        <f t="shared" si="30"/>
        <v>221006</v>
      </c>
      <c r="B501" s="5" t="str">
        <f>"2022111719"</f>
        <v>2022111719</v>
      </c>
      <c r="C501" s="5" t="str">
        <f t="shared" si="31"/>
        <v>17</v>
      </c>
      <c r="D501" s="5" t="str">
        <f>"19"</f>
        <v>19</v>
      </c>
      <c r="E501" s="6">
        <v>102</v>
      </c>
      <c r="F501" s="6">
        <v>114.1</v>
      </c>
      <c r="G501" s="6">
        <v>72.0333333333333</v>
      </c>
      <c r="H501" s="6" t="s">
        <v>9</v>
      </c>
    </row>
    <row r="502" ht="20.1" customHeight="1" spans="1:8">
      <c r="A502" s="5" t="str">
        <f t="shared" si="30"/>
        <v>221006</v>
      </c>
      <c r="B502" s="5" t="str">
        <f>"2022111720"</f>
        <v>2022111720</v>
      </c>
      <c r="C502" s="5" t="str">
        <f t="shared" si="31"/>
        <v>17</v>
      </c>
      <c r="D502" s="5" t="str">
        <f>"20"</f>
        <v>20</v>
      </c>
      <c r="E502" s="6">
        <v>0</v>
      </c>
      <c r="F502" s="6">
        <v>0</v>
      </c>
      <c r="G502" s="6">
        <v>0</v>
      </c>
      <c r="H502" s="6" t="s">
        <v>10</v>
      </c>
    </row>
    <row r="503" ht="20.1" customHeight="1" spans="1:8">
      <c r="A503" s="5" t="str">
        <f t="shared" si="30"/>
        <v>221006</v>
      </c>
      <c r="B503" s="5" t="str">
        <f>"2022111721"</f>
        <v>2022111721</v>
      </c>
      <c r="C503" s="5" t="str">
        <f t="shared" si="31"/>
        <v>17</v>
      </c>
      <c r="D503" s="5" t="str">
        <f>"21"</f>
        <v>21</v>
      </c>
      <c r="E503" s="6">
        <v>103.5</v>
      </c>
      <c r="F503" s="6">
        <v>101.4</v>
      </c>
      <c r="G503" s="6">
        <v>68.3</v>
      </c>
      <c r="H503" s="6" t="s">
        <v>9</v>
      </c>
    </row>
    <row r="504" ht="20.1" customHeight="1" spans="1:8">
      <c r="A504" s="5" t="str">
        <f t="shared" si="30"/>
        <v>221006</v>
      </c>
      <c r="B504" s="5" t="str">
        <f>"2022111722"</f>
        <v>2022111722</v>
      </c>
      <c r="C504" s="5" t="str">
        <f t="shared" si="31"/>
        <v>17</v>
      </c>
      <c r="D504" s="5" t="str">
        <f>"22"</f>
        <v>22</v>
      </c>
      <c r="E504" s="6">
        <v>76.5</v>
      </c>
      <c r="F504" s="6">
        <v>101.3</v>
      </c>
      <c r="G504" s="6">
        <v>59.2666666666667</v>
      </c>
      <c r="H504" s="6" t="s">
        <v>9</v>
      </c>
    </row>
    <row r="505" ht="20.1" customHeight="1" spans="1:8">
      <c r="A505" s="5" t="str">
        <f t="shared" si="30"/>
        <v>221006</v>
      </c>
      <c r="B505" s="5" t="str">
        <f>"2022111723"</f>
        <v>2022111723</v>
      </c>
      <c r="C505" s="5" t="str">
        <f t="shared" si="31"/>
        <v>17</v>
      </c>
      <c r="D505" s="5" t="str">
        <f>"23"</f>
        <v>23</v>
      </c>
      <c r="E505" s="6">
        <v>0</v>
      </c>
      <c r="F505" s="6">
        <v>0</v>
      </c>
      <c r="G505" s="6">
        <v>0</v>
      </c>
      <c r="H505" s="6" t="s">
        <v>10</v>
      </c>
    </row>
    <row r="506" ht="20.1" customHeight="1" spans="1:8">
      <c r="A506" s="5" t="str">
        <f t="shared" si="30"/>
        <v>221006</v>
      </c>
      <c r="B506" s="5" t="str">
        <f>"2022111724"</f>
        <v>2022111724</v>
      </c>
      <c r="C506" s="5" t="str">
        <f t="shared" si="31"/>
        <v>17</v>
      </c>
      <c r="D506" s="5" t="str">
        <f>"24"</f>
        <v>24</v>
      </c>
      <c r="E506" s="6">
        <v>120</v>
      </c>
      <c r="F506" s="6">
        <v>106.4</v>
      </c>
      <c r="G506" s="6">
        <v>75.4666666666667</v>
      </c>
      <c r="H506" s="6" t="s">
        <v>9</v>
      </c>
    </row>
    <row r="507" ht="20.1" customHeight="1" spans="1:8">
      <c r="A507" s="5" t="str">
        <f t="shared" si="30"/>
        <v>221006</v>
      </c>
      <c r="B507" s="5" t="str">
        <f>"2022111725"</f>
        <v>2022111725</v>
      </c>
      <c r="C507" s="5" t="str">
        <f t="shared" si="31"/>
        <v>17</v>
      </c>
      <c r="D507" s="5" t="str">
        <f>"25"</f>
        <v>25</v>
      </c>
      <c r="E507" s="6">
        <v>96</v>
      </c>
      <c r="F507" s="6">
        <v>94.5</v>
      </c>
      <c r="G507" s="6">
        <v>63.5</v>
      </c>
      <c r="H507" s="6" t="s">
        <v>9</v>
      </c>
    </row>
    <row r="508" ht="20.1" customHeight="1" spans="1:8">
      <c r="A508" s="5" t="str">
        <f t="shared" si="30"/>
        <v>221006</v>
      </c>
      <c r="B508" s="5" t="str">
        <f>"2022111726"</f>
        <v>2022111726</v>
      </c>
      <c r="C508" s="5" t="str">
        <f t="shared" si="31"/>
        <v>17</v>
      </c>
      <c r="D508" s="5" t="str">
        <f>"26"</f>
        <v>26</v>
      </c>
      <c r="E508" s="6">
        <v>0</v>
      </c>
      <c r="F508" s="6">
        <v>0</v>
      </c>
      <c r="G508" s="6">
        <v>0</v>
      </c>
      <c r="H508" s="6" t="s">
        <v>10</v>
      </c>
    </row>
    <row r="509" ht="20.1" customHeight="1" spans="1:8">
      <c r="A509" s="5" t="str">
        <f t="shared" si="30"/>
        <v>221006</v>
      </c>
      <c r="B509" s="5" t="str">
        <f>"2022111727"</f>
        <v>2022111727</v>
      </c>
      <c r="C509" s="5" t="str">
        <f t="shared" si="31"/>
        <v>17</v>
      </c>
      <c r="D509" s="5" t="str">
        <f>"27"</f>
        <v>27</v>
      </c>
      <c r="E509" s="6">
        <v>108</v>
      </c>
      <c r="F509" s="6">
        <v>110.3</v>
      </c>
      <c r="G509" s="6">
        <v>72.7666666666667</v>
      </c>
      <c r="H509" s="6" t="s">
        <v>9</v>
      </c>
    </row>
    <row r="510" ht="20.1" customHeight="1" spans="1:8">
      <c r="A510" s="5" t="str">
        <f t="shared" si="30"/>
        <v>221006</v>
      </c>
      <c r="B510" s="5" t="str">
        <f>"2022111728"</f>
        <v>2022111728</v>
      </c>
      <c r="C510" s="5" t="str">
        <f t="shared" si="31"/>
        <v>17</v>
      </c>
      <c r="D510" s="5" t="str">
        <f>"28"</f>
        <v>28</v>
      </c>
      <c r="E510" s="6">
        <v>0</v>
      </c>
      <c r="F510" s="6">
        <v>0</v>
      </c>
      <c r="G510" s="6">
        <v>0</v>
      </c>
      <c r="H510" s="6" t="s">
        <v>10</v>
      </c>
    </row>
    <row r="511" ht="20.1" customHeight="1" spans="1:8">
      <c r="A511" s="5" t="str">
        <f t="shared" si="30"/>
        <v>221006</v>
      </c>
      <c r="B511" s="5" t="str">
        <f>"2022111729"</f>
        <v>2022111729</v>
      </c>
      <c r="C511" s="5" t="str">
        <f t="shared" si="31"/>
        <v>17</v>
      </c>
      <c r="D511" s="5" t="str">
        <f>"29"</f>
        <v>29</v>
      </c>
      <c r="E511" s="6">
        <v>111</v>
      </c>
      <c r="F511" s="6">
        <v>106</v>
      </c>
      <c r="G511" s="6">
        <v>72.3333333333333</v>
      </c>
      <c r="H511" s="6" t="s">
        <v>9</v>
      </c>
    </row>
    <row r="512" ht="20.1" customHeight="1" spans="1:8">
      <c r="A512" s="5" t="str">
        <f t="shared" si="30"/>
        <v>221006</v>
      </c>
      <c r="B512" s="5" t="str">
        <f>"2022111730"</f>
        <v>2022111730</v>
      </c>
      <c r="C512" s="5" t="str">
        <f t="shared" si="31"/>
        <v>17</v>
      </c>
      <c r="D512" s="5" t="str">
        <f>"30"</f>
        <v>30</v>
      </c>
      <c r="E512" s="6">
        <v>0</v>
      </c>
      <c r="F512" s="6">
        <v>0</v>
      </c>
      <c r="G512" s="6">
        <v>0</v>
      </c>
      <c r="H512" s="6" t="s">
        <v>10</v>
      </c>
    </row>
    <row r="513" ht="20.1" customHeight="1" spans="1:8">
      <c r="A513" s="5" t="str">
        <f t="shared" si="30"/>
        <v>221006</v>
      </c>
      <c r="B513" s="5" t="str">
        <f>"2022111801"</f>
        <v>2022111801</v>
      </c>
      <c r="C513" s="5" t="str">
        <f t="shared" ref="C513:C542" si="32">"18"</f>
        <v>18</v>
      </c>
      <c r="D513" s="5" t="str">
        <f>"01"</f>
        <v>01</v>
      </c>
      <c r="E513" s="6">
        <v>102</v>
      </c>
      <c r="F513" s="6">
        <v>108.9</v>
      </c>
      <c r="G513" s="6">
        <v>70.3</v>
      </c>
      <c r="H513" s="6" t="s">
        <v>9</v>
      </c>
    </row>
    <row r="514" ht="20.1" customHeight="1" spans="1:8">
      <c r="A514" s="5" t="str">
        <f t="shared" si="30"/>
        <v>221006</v>
      </c>
      <c r="B514" s="5" t="str">
        <f>"2022111802"</f>
        <v>2022111802</v>
      </c>
      <c r="C514" s="5" t="str">
        <f t="shared" si="32"/>
        <v>18</v>
      </c>
      <c r="D514" s="5" t="str">
        <f>"02"</f>
        <v>02</v>
      </c>
      <c r="E514" s="6">
        <v>0</v>
      </c>
      <c r="F514" s="6">
        <v>0</v>
      </c>
      <c r="G514" s="6">
        <v>0</v>
      </c>
      <c r="H514" s="6" t="s">
        <v>10</v>
      </c>
    </row>
    <row r="515" ht="20.1" customHeight="1" spans="1:8">
      <c r="A515" s="5" t="str">
        <f t="shared" si="30"/>
        <v>221006</v>
      </c>
      <c r="B515" s="5" t="str">
        <f>"2022111803"</f>
        <v>2022111803</v>
      </c>
      <c r="C515" s="5" t="str">
        <f t="shared" si="32"/>
        <v>18</v>
      </c>
      <c r="D515" s="5" t="str">
        <f>"03"</f>
        <v>03</v>
      </c>
      <c r="E515" s="6">
        <v>112.5</v>
      </c>
      <c r="F515" s="6">
        <v>112.4</v>
      </c>
      <c r="G515" s="6">
        <v>74.9666666666667</v>
      </c>
      <c r="H515" s="6" t="s">
        <v>9</v>
      </c>
    </row>
    <row r="516" ht="20.1" customHeight="1" spans="1:8">
      <c r="A516" s="5" t="str">
        <f t="shared" si="30"/>
        <v>221006</v>
      </c>
      <c r="B516" s="5" t="str">
        <f>"2022111804"</f>
        <v>2022111804</v>
      </c>
      <c r="C516" s="5" t="str">
        <f t="shared" si="32"/>
        <v>18</v>
      </c>
      <c r="D516" s="5" t="str">
        <f>"04"</f>
        <v>04</v>
      </c>
      <c r="E516" s="6">
        <v>0</v>
      </c>
      <c r="F516" s="6">
        <v>0</v>
      </c>
      <c r="G516" s="6">
        <v>0</v>
      </c>
      <c r="H516" s="6" t="s">
        <v>10</v>
      </c>
    </row>
    <row r="517" ht="20.1" customHeight="1" spans="1:8">
      <c r="A517" s="5" t="str">
        <f t="shared" si="30"/>
        <v>221006</v>
      </c>
      <c r="B517" s="5" t="str">
        <f>"2022111805"</f>
        <v>2022111805</v>
      </c>
      <c r="C517" s="5" t="str">
        <f t="shared" si="32"/>
        <v>18</v>
      </c>
      <c r="D517" s="5" t="str">
        <f>"05"</f>
        <v>05</v>
      </c>
      <c r="E517" s="6">
        <v>115.5</v>
      </c>
      <c r="F517" s="6">
        <v>107.8</v>
      </c>
      <c r="G517" s="6">
        <v>74.4333333333333</v>
      </c>
      <c r="H517" s="6" t="s">
        <v>9</v>
      </c>
    </row>
    <row r="518" ht="20.1" customHeight="1" spans="1:8">
      <c r="A518" s="5" t="str">
        <f t="shared" si="30"/>
        <v>221006</v>
      </c>
      <c r="B518" s="5" t="str">
        <f>"2022111806"</f>
        <v>2022111806</v>
      </c>
      <c r="C518" s="5" t="str">
        <f t="shared" si="32"/>
        <v>18</v>
      </c>
      <c r="D518" s="5" t="str">
        <f>"06"</f>
        <v>06</v>
      </c>
      <c r="E518" s="6">
        <v>93</v>
      </c>
      <c r="F518" s="6">
        <v>106</v>
      </c>
      <c r="G518" s="6">
        <v>66.3333333333333</v>
      </c>
      <c r="H518" s="6" t="s">
        <v>9</v>
      </c>
    </row>
    <row r="519" ht="20.1" customHeight="1" spans="1:8">
      <c r="A519" s="5" t="str">
        <f t="shared" si="30"/>
        <v>221006</v>
      </c>
      <c r="B519" s="5" t="str">
        <f>"2022111807"</f>
        <v>2022111807</v>
      </c>
      <c r="C519" s="5" t="str">
        <f t="shared" si="32"/>
        <v>18</v>
      </c>
      <c r="D519" s="5" t="str">
        <f>"07"</f>
        <v>07</v>
      </c>
      <c r="E519" s="6">
        <v>111</v>
      </c>
      <c r="F519" s="6">
        <v>101.5</v>
      </c>
      <c r="G519" s="6">
        <v>70.8333333333333</v>
      </c>
      <c r="H519" s="6" t="s">
        <v>9</v>
      </c>
    </row>
    <row r="520" ht="20.1" customHeight="1" spans="1:8">
      <c r="A520" s="5" t="str">
        <f t="shared" si="30"/>
        <v>221006</v>
      </c>
      <c r="B520" s="5" t="str">
        <f>"2022111808"</f>
        <v>2022111808</v>
      </c>
      <c r="C520" s="5" t="str">
        <f t="shared" si="32"/>
        <v>18</v>
      </c>
      <c r="D520" s="5" t="str">
        <f>"08"</f>
        <v>08</v>
      </c>
      <c r="E520" s="6">
        <v>111</v>
      </c>
      <c r="F520" s="6">
        <v>112</v>
      </c>
      <c r="G520" s="6">
        <v>74.3333333333333</v>
      </c>
      <c r="H520" s="6" t="s">
        <v>9</v>
      </c>
    </row>
    <row r="521" ht="20.1" customHeight="1" spans="1:8">
      <c r="A521" s="5" t="str">
        <f t="shared" si="30"/>
        <v>221006</v>
      </c>
      <c r="B521" s="5" t="str">
        <f>"2022111809"</f>
        <v>2022111809</v>
      </c>
      <c r="C521" s="5" t="str">
        <f t="shared" si="32"/>
        <v>18</v>
      </c>
      <c r="D521" s="5" t="str">
        <f>"09"</f>
        <v>09</v>
      </c>
      <c r="E521" s="6">
        <v>0</v>
      </c>
      <c r="F521" s="6">
        <v>0</v>
      </c>
      <c r="G521" s="6">
        <v>0</v>
      </c>
      <c r="H521" s="6" t="s">
        <v>10</v>
      </c>
    </row>
    <row r="522" ht="20.1" customHeight="1" spans="1:8">
      <c r="A522" s="5" t="str">
        <f t="shared" ref="A522:A585" si="33">"221006"</f>
        <v>221006</v>
      </c>
      <c r="B522" s="5" t="str">
        <f>"2022111810"</f>
        <v>2022111810</v>
      </c>
      <c r="C522" s="5" t="str">
        <f t="shared" si="32"/>
        <v>18</v>
      </c>
      <c r="D522" s="5" t="str">
        <f>"10"</f>
        <v>10</v>
      </c>
      <c r="E522" s="6">
        <v>115.5</v>
      </c>
      <c r="F522" s="6">
        <v>107.5</v>
      </c>
      <c r="G522" s="6">
        <v>74.3333333333333</v>
      </c>
      <c r="H522" s="6" t="s">
        <v>9</v>
      </c>
    </row>
    <row r="523" ht="20.1" customHeight="1" spans="1:8">
      <c r="A523" s="5" t="str">
        <f t="shared" si="33"/>
        <v>221006</v>
      </c>
      <c r="B523" s="5" t="str">
        <f>"2022111811"</f>
        <v>2022111811</v>
      </c>
      <c r="C523" s="5" t="str">
        <f t="shared" si="32"/>
        <v>18</v>
      </c>
      <c r="D523" s="5" t="str">
        <f>"11"</f>
        <v>11</v>
      </c>
      <c r="E523" s="6">
        <v>120</v>
      </c>
      <c r="F523" s="6">
        <v>112.9</v>
      </c>
      <c r="G523" s="6">
        <v>77.6333333333333</v>
      </c>
      <c r="H523" s="6" t="s">
        <v>9</v>
      </c>
    </row>
    <row r="524" ht="20.1" customHeight="1" spans="1:8">
      <c r="A524" s="5" t="str">
        <f t="shared" si="33"/>
        <v>221006</v>
      </c>
      <c r="B524" s="5" t="str">
        <f>"2022111812"</f>
        <v>2022111812</v>
      </c>
      <c r="C524" s="5" t="str">
        <f t="shared" si="32"/>
        <v>18</v>
      </c>
      <c r="D524" s="5" t="str">
        <f>"12"</f>
        <v>12</v>
      </c>
      <c r="E524" s="6">
        <v>0</v>
      </c>
      <c r="F524" s="6">
        <v>0</v>
      </c>
      <c r="G524" s="6">
        <v>0</v>
      </c>
      <c r="H524" s="6" t="s">
        <v>10</v>
      </c>
    </row>
    <row r="525" ht="20.1" customHeight="1" spans="1:8">
      <c r="A525" s="5" t="str">
        <f t="shared" si="33"/>
        <v>221006</v>
      </c>
      <c r="B525" s="5" t="str">
        <f>"2022111813"</f>
        <v>2022111813</v>
      </c>
      <c r="C525" s="5" t="str">
        <f t="shared" si="32"/>
        <v>18</v>
      </c>
      <c r="D525" s="5" t="str">
        <f>"13"</f>
        <v>13</v>
      </c>
      <c r="E525" s="6">
        <v>121.5</v>
      </c>
      <c r="F525" s="6">
        <v>92</v>
      </c>
      <c r="G525" s="6">
        <v>71.1666666666667</v>
      </c>
      <c r="H525" s="6" t="s">
        <v>9</v>
      </c>
    </row>
    <row r="526" ht="20.1" customHeight="1" spans="1:8">
      <c r="A526" s="5" t="str">
        <f t="shared" si="33"/>
        <v>221006</v>
      </c>
      <c r="B526" s="5" t="str">
        <f>"2022111814"</f>
        <v>2022111814</v>
      </c>
      <c r="C526" s="5" t="str">
        <f t="shared" si="32"/>
        <v>18</v>
      </c>
      <c r="D526" s="5" t="str">
        <f>"14"</f>
        <v>14</v>
      </c>
      <c r="E526" s="6">
        <v>0</v>
      </c>
      <c r="F526" s="6">
        <v>0</v>
      </c>
      <c r="G526" s="6">
        <v>0</v>
      </c>
      <c r="H526" s="6" t="s">
        <v>10</v>
      </c>
    </row>
    <row r="527" ht="20.1" customHeight="1" spans="1:8">
      <c r="A527" s="5" t="str">
        <f t="shared" si="33"/>
        <v>221006</v>
      </c>
      <c r="B527" s="5" t="str">
        <f>"2022111815"</f>
        <v>2022111815</v>
      </c>
      <c r="C527" s="5" t="str">
        <f t="shared" si="32"/>
        <v>18</v>
      </c>
      <c r="D527" s="5" t="str">
        <f>"15"</f>
        <v>15</v>
      </c>
      <c r="E527" s="6">
        <v>67.5</v>
      </c>
      <c r="F527" s="6">
        <v>84.2</v>
      </c>
      <c r="G527" s="6">
        <v>50.5666666666667</v>
      </c>
      <c r="H527" s="6" t="s">
        <v>9</v>
      </c>
    </row>
    <row r="528" ht="20.1" customHeight="1" spans="1:8">
      <c r="A528" s="5" t="str">
        <f t="shared" si="33"/>
        <v>221006</v>
      </c>
      <c r="B528" s="5" t="str">
        <f>"2022111816"</f>
        <v>2022111816</v>
      </c>
      <c r="C528" s="5" t="str">
        <f t="shared" si="32"/>
        <v>18</v>
      </c>
      <c r="D528" s="5" t="str">
        <f>"16"</f>
        <v>16</v>
      </c>
      <c r="E528" s="6">
        <v>0</v>
      </c>
      <c r="F528" s="6">
        <v>0</v>
      </c>
      <c r="G528" s="6">
        <v>0</v>
      </c>
      <c r="H528" s="6" t="s">
        <v>10</v>
      </c>
    </row>
    <row r="529" ht="20.1" customHeight="1" spans="1:8">
      <c r="A529" s="5" t="str">
        <f t="shared" si="33"/>
        <v>221006</v>
      </c>
      <c r="B529" s="5" t="str">
        <f>"2022111817"</f>
        <v>2022111817</v>
      </c>
      <c r="C529" s="5" t="str">
        <f t="shared" si="32"/>
        <v>18</v>
      </c>
      <c r="D529" s="5" t="str">
        <f>"17"</f>
        <v>17</v>
      </c>
      <c r="E529" s="6">
        <v>118.5</v>
      </c>
      <c r="F529" s="6">
        <v>108.1</v>
      </c>
      <c r="G529" s="6">
        <v>75.5333333333333</v>
      </c>
      <c r="H529" s="6" t="s">
        <v>9</v>
      </c>
    </row>
    <row r="530" ht="20.1" customHeight="1" spans="1:8">
      <c r="A530" s="5" t="str">
        <f t="shared" si="33"/>
        <v>221006</v>
      </c>
      <c r="B530" s="5" t="str">
        <f>"2022111818"</f>
        <v>2022111818</v>
      </c>
      <c r="C530" s="5" t="str">
        <f t="shared" si="32"/>
        <v>18</v>
      </c>
      <c r="D530" s="5" t="str">
        <f>"18"</f>
        <v>18</v>
      </c>
      <c r="E530" s="6">
        <v>72</v>
      </c>
      <c r="F530" s="6">
        <v>101.1</v>
      </c>
      <c r="G530" s="6">
        <v>57.7</v>
      </c>
      <c r="H530" s="6" t="s">
        <v>9</v>
      </c>
    </row>
    <row r="531" ht="20.1" customHeight="1" spans="1:8">
      <c r="A531" s="5" t="str">
        <f t="shared" si="33"/>
        <v>221006</v>
      </c>
      <c r="B531" s="5" t="str">
        <f>"2022111819"</f>
        <v>2022111819</v>
      </c>
      <c r="C531" s="5" t="str">
        <f t="shared" si="32"/>
        <v>18</v>
      </c>
      <c r="D531" s="5" t="str">
        <f>"19"</f>
        <v>19</v>
      </c>
      <c r="E531" s="6">
        <v>127.5</v>
      </c>
      <c r="F531" s="6">
        <v>112.8</v>
      </c>
      <c r="G531" s="6">
        <v>80.1</v>
      </c>
      <c r="H531" s="6" t="s">
        <v>9</v>
      </c>
    </row>
    <row r="532" ht="20.1" customHeight="1" spans="1:8">
      <c r="A532" s="5" t="str">
        <f t="shared" si="33"/>
        <v>221006</v>
      </c>
      <c r="B532" s="5" t="str">
        <f>"2022111820"</f>
        <v>2022111820</v>
      </c>
      <c r="C532" s="5" t="str">
        <f t="shared" si="32"/>
        <v>18</v>
      </c>
      <c r="D532" s="5" t="str">
        <f>"20"</f>
        <v>20</v>
      </c>
      <c r="E532" s="6">
        <v>0</v>
      </c>
      <c r="F532" s="6">
        <v>0</v>
      </c>
      <c r="G532" s="6">
        <v>0</v>
      </c>
      <c r="H532" s="6" t="s">
        <v>10</v>
      </c>
    </row>
    <row r="533" ht="20.1" customHeight="1" spans="1:8">
      <c r="A533" s="5" t="str">
        <f t="shared" si="33"/>
        <v>221006</v>
      </c>
      <c r="B533" s="5" t="str">
        <f>"2022111821"</f>
        <v>2022111821</v>
      </c>
      <c r="C533" s="5" t="str">
        <f t="shared" si="32"/>
        <v>18</v>
      </c>
      <c r="D533" s="5" t="str">
        <f>"21"</f>
        <v>21</v>
      </c>
      <c r="E533" s="6">
        <v>100.5</v>
      </c>
      <c r="F533" s="6">
        <v>90.8</v>
      </c>
      <c r="G533" s="6">
        <v>63.7666666666667</v>
      </c>
      <c r="H533" s="6" t="s">
        <v>9</v>
      </c>
    </row>
    <row r="534" ht="20.1" customHeight="1" spans="1:8">
      <c r="A534" s="5" t="str">
        <f t="shared" si="33"/>
        <v>221006</v>
      </c>
      <c r="B534" s="5" t="str">
        <f>"2022111822"</f>
        <v>2022111822</v>
      </c>
      <c r="C534" s="5" t="str">
        <f t="shared" si="32"/>
        <v>18</v>
      </c>
      <c r="D534" s="5" t="str">
        <f>"22"</f>
        <v>22</v>
      </c>
      <c r="E534" s="6">
        <v>78</v>
      </c>
      <c r="F534" s="6">
        <v>85.9</v>
      </c>
      <c r="G534" s="6">
        <v>54.6333333333333</v>
      </c>
      <c r="H534" s="6" t="s">
        <v>9</v>
      </c>
    </row>
    <row r="535" ht="20.1" customHeight="1" spans="1:8">
      <c r="A535" s="5" t="str">
        <f t="shared" si="33"/>
        <v>221006</v>
      </c>
      <c r="B535" s="5" t="str">
        <f>"2022111823"</f>
        <v>2022111823</v>
      </c>
      <c r="C535" s="5" t="str">
        <f t="shared" si="32"/>
        <v>18</v>
      </c>
      <c r="D535" s="5" t="str">
        <f>"23"</f>
        <v>23</v>
      </c>
      <c r="E535" s="6">
        <v>126</v>
      </c>
      <c r="F535" s="6">
        <v>117.1</v>
      </c>
      <c r="G535" s="6">
        <v>81.0333333333333</v>
      </c>
      <c r="H535" s="6" t="s">
        <v>9</v>
      </c>
    </row>
    <row r="536" ht="20.1" customHeight="1" spans="1:8">
      <c r="A536" s="5" t="str">
        <f t="shared" si="33"/>
        <v>221006</v>
      </c>
      <c r="B536" s="5" t="str">
        <f>"2022111824"</f>
        <v>2022111824</v>
      </c>
      <c r="C536" s="5" t="str">
        <f t="shared" si="32"/>
        <v>18</v>
      </c>
      <c r="D536" s="5" t="str">
        <f>"24"</f>
        <v>24</v>
      </c>
      <c r="E536" s="6">
        <v>103.5</v>
      </c>
      <c r="F536" s="6">
        <v>111.1</v>
      </c>
      <c r="G536" s="6">
        <v>71.5333333333333</v>
      </c>
      <c r="H536" s="6" t="s">
        <v>9</v>
      </c>
    </row>
    <row r="537" ht="20.1" customHeight="1" spans="1:8">
      <c r="A537" s="5" t="str">
        <f t="shared" si="33"/>
        <v>221006</v>
      </c>
      <c r="B537" s="5" t="str">
        <f>"2022111825"</f>
        <v>2022111825</v>
      </c>
      <c r="C537" s="5" t="str">
        <f t="shared" si="32"/>
        <v>18</v>
      </c>
      <c r="D537" s="5" t="str">
        <f>"25"</f>
        <v>25</v>
      </c>
      <c r="E537" s="6">
        <v>123</v>
      </c>
      <c r="F537" s="6">
        <v>112.2</v>
      </c>
      <c r="G537" s="6">
        <v>78.4</v>
      </c>
      <c r="H537" s="6" t="s">
        <v>9</v>
      </c>
    </row>
    <row r="538" ht="20.1" customHeight="1" spans="1:8">
      <c r="A538" s="5" t="str">
        <f t="shared" si="33"/>
        <v>221006</v>
      </c>
      <c r="B538" s="5" t="str">
        <f>"2022111826"</f>
        <v>2022111826</v>
      </c>
      <c r="C538" s="5" t="str">
        <f t="shared" si="32"/>
        <v>18</v>
      </c>
      <c r="D538" s="5" t="str">
        <f>"26"</f>
        <v>26</v>
      </c>
      <c r="E538" s="6">
        <v>111</v>
      </c>
      <c r="F538" s="6">
        <v>107.8</v>
      </c>
      <c r="G538" s="6">
        <v>72.9333333333333</v>
      </c>
      <c r="H538" s="6" t="s">
        <v>9</v>
      </c>
    </row>
    <row r="539" ht="20.1" customHeight="1" spans="1:8">
      <c r="A539" s="5" t="str">
        <f t="shared" si="33"/>
        <v>221006</v>
      </c>
      <c r="B539" s="5" t="str">
        <f>"2022111827"</f>
        <v>2022111827</v>
      </c>
      <c r="C539" s="5" t="str">
        <f t="shared" si="32"/>
        <v>18</v>
      </c>
      <c r="D539" s="5" t="str">
        <f>"27"</f>
        <v>27</v>
      </c>
      <c r="E539" s="6">
        <v>0</v>
      </c>
      <c r="F539" s="6">
        <v>0</v>
      </c>
      <c r="G539" s="6">
        <v>0</v>
      </c>
      <c r="H539" s="6" t="s">
        <v>10</v>
      </c>
    </row>
    <row r="540" ht="20.1" customHeight="1" spans="1:8">
      <c r="A540" s="5" t="str">
        <f t="shared" si="33"/>
        <v>221006</v>
      </c>
      <c r="B540" s="5" t="str">
        <f>"2022111828"</f>
        <v>2022111828</v>
      </c>
      <c r="C540" s="5" t="str">
        <f t="shared" si="32"/>
        <v>18</v>
      </c>
      <c r="D540" s="5" t="str">
        <f>"28"</f>
        <v>28</v>
      </c>
      <c r="E540" s="6">
        <v>115.5</v>
      </c>
      <c r="F540" s="6">
        <v>106.9</v>
      </c>
      <c r="G540" s="6">
        <v>74.1333333333333</v>
      </c>
      <c r="H540" s="6" t="s">
        <v>9</v>
      </c>
    </row>
    <row r="541" ht="20.1" customHeight="1" spans="1:8">
      <c r="A541" s="5" t="str">
        <f t="shared" si="33"/>
        <v>221006</v>
      </c>
      <c r="B541" s="5" t="str">
        <f>"2022111829"</f>
        <v>2022111829</v>
      </c>
      <c r="C541" s="5" t="str">
        <f t="shared" si="32"/>
        <v>18</v>
      </c>
      <c r="D541" s="5" t="str">
        <f>"29"</f>
        <v>29</v>
      </c>
      <c r="E541" s="6">
        <v>63</v>
      </c>
      <c r="F541" s="6">
        <v>76.5</v>
      </c>
      <c r="G541" s="6">
        <v>46.5</v>
      </c>
      <c r="H541" s="6" t="s">
        <v>9</v>
      </c>
    </row>
    <row r="542" ht="20.1" customHeight="1" spans="1:8">
      <c r="A542" s="5" t="str">
        <f t="shared" si="33"/>
        <v>221006</v>
      </c>
      <c r="B542" s="5" t="str">
        <f>"2022111830"</f>
        <v>2022111830</v>
      </c>
      <c r="C542" s="5" t="str">
        <f t="shared" si="32"/>
        <v>18</v>
      </c>
      <c r="D542" s="5" t="str">
        <f>"30"</f>
        <v>30</v>
      </c>
      <c r="E542" s="6">
        <v>108</v>
      </c>
      <c r="F542" s="6">
        <v>91.9</v>
      </c>
      <c r="G542" s="6">
        <v>66.6333333333333</v>
      </c>
      <c r="H542" s="6" t="s">
        <v>9</v>
      </c>
    </row>
    <row r="543" ht="20.1" customHeight="1" spans="1:8">
      <c r="A543" s="5" t="str">
        <f t="shared" si="33"/>
        <v>221006</v>
      </c>
      <c r="B543" s="5" t="str">
        <f>"2022111901"</f>
        <v>2022111901</v>
      </c>
      <c r="C543" s="5" t="str">
        <f t="shared" ref="C543:C572" si="34">"19"</f>
        <v>19</v>
      </c>
      <c r="D543" s="5" t="str">
        <f>"01"</f>
        <v>01</v>
      </c>
      <c r="E543" s="6">
        <v>99</v>
      </c>
      <c r="F543" s="6">
        <v>94.6</v>
      </c>
      <c r="G543" s="6">
        <v>64.5333333333333</v>
      </c>
      <c r="H543" s="6" t="s">
        <v>9</v>
      </c>
    </row>
    <row r="544" ht="20.1" customHeight="1" spans="1:8">
      <c r="A544" s="5" t="str">
        <f t="shared" si="33"/>
        <v>221006</v>
      </c>
      <c r="B544" s="5" t="str">
        <f>"2022111902"</f>
        <v>2022111902</v>
      </c>
      <c r="C544" s="5" t="str">
        <f t="shared" si="34"/>
        <v>19</v>
      </c>
      <c r="D544" s="5" t="str">
        <f>"02"</f>
        <v>02</v>
      </c>
      <c r="E544" s="6">
        <v>105</v>
      </c>
      <c r="F544" s="6">
        <v>77.7</v>
      </c>
      <c r="G544" s="6">
        <v>60.9</v>
      </c>
      <c r="H544" s="6" t="s">
        <v>9</v>
      </c>
    </row>
    <row r="545" ht="20.1" customHeight="1" spans="1:8">
      <c r="A545" s="5" t="str">
        <f t="shared" si="33"/>
        <v>221006</v>
      </c>
      <c r="B545" s="5" t="str">
        <f>"2022111903"</f>
        <v>2022111903</v>
      </c>
      <c r="C545" s="5" t="str">
        <f t="shared" si="34"/>
        <v>19</v>
      </c>
      <c r="D545" s="5" t="str">
        <f>"03"</f>
        <v>03</v>
      </c>
      <c r="E545" s="6">
        <v>102</v>
      </c>
      <c r="F545" s="6">
        <v>110.7</v>
      </c>
      <c r="G545" s="6">
        <v>70.9</v>
      </c>
      <c r="H545" s="6" t="s">
        <v>9</v>
      </c>
    </row>
    <row r="546" ht="20.1" customHeight="1" spans="1:8">
      <c r="A546" s="5" t="str">
        <f t="shared" si="33"/>
        <v>221006</v>
      </c>
      <c r="B546" s="5" t="str">
        <f>"2022111904"</f>
        <v>2022111904</v>
      </c>
      <c r="C546" s="5" t="str">
        <f t="shared" si="34"/>
        <v>19</v>
      </c>
      <c r="D546" s="5" t="str">
        <f>"04"</f>
        <v>04</v>
      </c>
      <c r="E546" s="6">
        <v>0</v>
      </c>
      <c r="F546" s="6">
        <v>0</v>
      </c>
      <c r="G546" s="6">
        <v>0</v>
      </c>
      <c r="H546" s="6" t="s">
        <v>10</v>
      </c>
    </row>
    <row r="547" ht="20.1" customHeight="1" spans="1:8">
      <c r="A547" s="5" t="str">
        <f t="shared" si="33"/>
        <v>221006</v>
      </c>
      <c r="B547" s="5" t="str">
        <f>"2022111905"</f>
        <v>2022111905</v>
      </c>
      <c r="C547" s="5" t="str">
        <f t="shared" si="34"/>
        <v>19</v>
      </c>
      <c r="D547" s="5" t="str">
        <f>"05"</f>
        <v>05</v>
      </c>
      <c r="E547" s="6">
        <v>124.5</v>
      </c>
      <c r="F547" s="6">
        <v>109.5</v>
      </c>
      <c r="G547" s="6">
        <v>78</v>
      </c>
      <c r="H547" s="6" t="s">
        <v>9</v>
      </c>
    </row>
    <row r="548" ht="20.1" customHeight="1" spans="1:8">
      <c r="A548" s="5" t="str">
        <f t="shared" si="33"/>
        <v>221006</v>
      </c>
      <c r="B548" s="5" t="str">
        <f>"2022111906"</f>
        <v>2022111906</v>
      </c>
      <c r="C548" s="5" t="str">
        <f t="shared" si="34"/>
        <v>19</v>
      </c>
      <c r="D548" s="5" t="str">
        <f>"06"</f>
        <v>06</v>
      </c>
      <c r="E548" s="6">
        <v>0</v>
      </c>
      <c r="F548" s="6">
        <v>0</v>
      </c>
      <c r="G548" s="6">
        <v>0</v>
      </c>
      <c r="H548" s="6" t="s">
        <v>10</v>
      </c>
    </row>
    <row r="549" ht="20.1" customHeight="1" spans="1:8">
      <c r="A549" s="5" t="str">
        <f t="shared" si="33"/>
        <v>221006</v>
      </c>
      <c r="B549" s="5" t="str">
        <f>"2022111907"</f>
        <v>2022111907</v>
      </c>
      <c r="C549" s="5" t="str">
        <f t="shared" si="34"/>
        <v>19</v>
      </c>
      <c r="D549" s="5" t="str">
        <f>"07"</f>
        <v>07</v>
      </c>
      <c r="E549" s="6">
        <v>112.5</v>
      </c>
      <c r="F549" s="6">
        <v>107.8</v>
      </c>
      <c r="G549" s="6">
        <v>73.4333333333333</v>
      </c>
      <c r="H549" s="6" t="s">
        <v>9</v>
      </c>
    </row>
    <row r="550" ht="20.1" customHeight="1" spans="1:8">
      <c r="A550" s="5" t="str">
        <f t="shared" si="33"/>
        <v>221006</v>
      </c>
      <c r="B550" s="5" t="str">
        <f>"2022111908"</f>
        <v>2022111908</v>
      </c>
      <c r="C550" s="5" t="str">
        <f t="shared" si="34"/>
        <v>19</v>
      </c>
      <c r="D550" s="5" t="str">
        <f>"08"</f>
        <v>08</v>
      </c>
      <c r="E550" s="6">
        <v>130.5</v>
      </c>
      <c r="F550" s="6">
        <v>106.3</v>
      </c>
      <c r="G550" s="6">
        <v>78.9333333333333</v>
      </c>
      <c r="H550" s="6" t="s">
        <v>9</v>
      </c>
    </row>
    <row r="551" ht="20.1" customHeight="1" spans="1:8">
      <c r="A551" s="5" t="str">
        <f t="shared" si="33"/>
        <v>221006</v>
      </c>
      <c r="B551" s="5" t="str">
        <f>"2022111909"</f>
        <v>2022111909</v>
      </c>
      <c r="C551" s="5" t="str">
        <f t="shared" si="34"/>
        <v>19</v>
      </c>
      <c r="D551" s="5" t="str">
        <f>"09"</f>
        <v>09</v>
      </c>
      <c r="E551" s="6">
        <v>0</v>
      </c>
      <c r="F551" s="6">
        <v>0</v>
      </c>
      <c r="G551" s="6">
        <v>0</v>
      </c>
      <c r="H551" s="6" t="s">
        <v>10</v>
      </c>
    </row>
    <row r="552" ht="20.1" customHeight="1" spans="1:8">
      <c r="A552" s="5" t="str">
        <f t="shared" si="33"/>
        <v>221006</v>
      </c>
      <c r="B552" s="5" t="str">
        <f>"2022111910"</f>
        <v>2022111910</v>
      </c>
      <c r="C552" s="5" t="str">
        <f t="shared" si="34"/>
        <v>19</v>
      </c>
      <c r="D552" s="5" t="str">
        <f>"10"</f>
        <v>10</v>
      </c>
      <c r="E552" s="6">
        <v>132</v>
      </c>
      <c r="F552" s="6">
        <v>112.7</v>
      </c>
      <c r="G552" s="6">
        <v>81.5666666666667</v>
      </c>
      <c r="H552" s="7" t="s">
        <v>11</v>
      </c>
    </row>
    <row r="553" ht="20.1" customHeight="1" spans="1:8">
      <c r="A553" s="5" t="str">
        <f t="shared" si="33"/>
        <v>221006</v>
      </c>
      <c r="B553" s="5" t="str">
        <f>"2022111911"</f>
        <v>2022111911</v>
      </c>
      <c r="C553" s="5" t="str">
        <f t="shared" si="34"/>
        <v>19</v>
      </c>
      <c r="D553" s="5" t="str">
        <f>"11"</f>
        <v>11</v>
      </c>
      <c r="E553" s="6">
        <v>0</v>
      </c>
      <c r="F553" s="6">
        <v>0</v>
      </c>
      <c r="G553" s="6">
        <v>0</v>
      </c>
      <c r="H553" s="6" t="s">
        <v>10</v>
      </c>
    </row>
    <row r="554" ht="20.1" customHeight="1" spans="1:8">
      <c r="A554" s="5" t="str">
        <f t="shared" si="33"/>
        <v>221006</v>
      </c>
      <c r="B554" s="5" t="str">
        <f>"2022111912"</f>
        <v>2022111912</v>
      </c>
      <c r="C554" s="5" t="str">
        <f t="shared" si="34"/>
        <v>19</v>
      </c>
      <c r="D554" s="5" t="str">
        <f>"12"</f>
        <v>12</v>
      </c>
      <c r="E554" s="6">
        <v>0</v>
      </c>
      <c r="F554" s="6">
        <v>0</v>
      </c>
      <c r="G554" s="6">
        <v>0</v>
      </c>
      <c r="H554" s="6" t="s">
        <v>10</v>
      </c>
    </row>
    <row r="555" ht="20.1" customHeight="1" spans="1:8">
      <c r="A555" s="5" t="str">
        <f t="shared" si="33"/>
        <v>221006</v>
      </c>
      <c r="B555" s="5" t="str">
        <f>"2022111913"</f>
        <v>2022111913</v>
      </c>
      <c r="C555" s="5" t="str">
        <f t="shared" si="34"/>
        <v>19</v>
      </c>
      <c r="D555" s="5" t="str">
        <f>"13"</f>
        <v>13</v>
      </c>
      <c r="E555" s="6">
        <v>0</v>
      </c>
      <c r="F555" s="6">
        <v>0</v>
      </c>
      <c r="G555" s="6">
        <v>0</v>
      </c>
      <c r="H555" s="6" t="s">
        <v>10</v>
      </c>
    </row>
    <row r="556" ht="20.1" customHeight="1" spans="1:8">
      <c r="A556" s="5" t="str">
        <f t="shared" si="33"/>
        <v>221006</v>
      </c>
      <c r="B556" s="5" t="str">
        <f>"2022111914"</f>
        <v>2022111914</v>
      </c>
      <c r="C556" s="5" t="str">
        <f t="shared" si="34"/>
        <v>19</v>
      </c>
      <c r="D556" s="5" t="str">
        <f>"14"</f>
        <v>14</v>
      </c>
      <c r="E556" s="6">
        <v>121.5</v>
      </c>
      <c r="F556" s="6">
        <v>117.3</v>
      </c>
      <c r="G556" s="6">
        <v>79.6</v>
      </c>
      <c r="H556" s="6" t="s">
        <v>9</v>
      </c>
    </row>
    <row r="557" ht="20.1" customHeight="1" spans="1:8">
      <c r="A557" s="5" t="str">
        <f t="shared" si="33"/>
        <v>221006</v>
      </c>
      <c r="B557" s="5" t="str">
        <f>"2022111915"</f>
        <v>2022111915</v>
      </c>
      <c r="C557" s="5" t="str">
        <f t="shared" si="34"/>
        <v>19</v>
      </c>
      <c r="D557" s="5" t="str">
        <f>"15"</f>
        <v>15</v>
      </c>
      <c r="E557" s="6">
        <v>108</v>
      </c>
      <c r="F557" s="6">
        <v>110</v>
      </c>
      <c r="G557" s="6">
        <v>72.6666666666667</v>
      </c>
      <c r="H557" s="6" t="s">
        <v>9</v>
      </c>
    </row>
    <row r="558" ht="20.1" customHeight="1" spans="1:8">
      <c r="A558" s="5" t="str">
        <f t="shared" si="33"/>
        <v>221006</v>
      </c>
      <c r="B558" s="5" t="str">
        <f>"2022111916"</f>
        <v>2022111916</v>
      </c>
      <c r="C558" s="5" t="str">
        <f t="shared" si="34"/>
        <v>19</v>
      </c>
      <c r="D558" s="5" t="str">
        <f>"16"</f>
        <v>16</v>
      </c>
      <c r="E558" s="6">
        <v>123</v>
      </c>
      <c r="F558" s="6">
        <v>100.7</v>
      </c>
      <c r="G558" s="6">
        <v>74.5666666666667</v>
      </c>
      <c r="H558" s="6" t="s">
        <v>9</v>
      </c>
    </row>
    <row r="559" ht="20.1" customHeight="1" spans="1:8">
      <c r="A559" s="5" t="str">
        <f t="shared" si="33"/>
        <v>221006</v>
      </c>
      <c r="B559" s="5" t="str">
        <f>"2022111917"</f>
        <v>2022111917</v>
      </c>
      <c r="C559" s="5" t="str">
        <f t="shared" si="34"/>
        <v>19</v>
      </c>
      <c r="D559" s="5" t="str">
        <f>"17"</f>
        <v>17</v>
      </c>
      <c r="E559" s="6">
        <v>0</v>
      </c>
      <c r="F559" s="6">
        <v>0</v>
      </c>
      <c r="G559" s="6">
        <v>0</v>
      </c>
      <c r="H559" s="6" t="s">
        <v>10</v>
      </c>
    </row>
    <row r="560" ht="20.1" customHeight="1" spans="1:8">
      <c r="A560" s="5" t="str">
        <f t="shared" si="33"/>
        <v>221006</v>
      </c>
      <c r="B560" s="5" t="str">
        <f>"2022111918"</f>
        <v>2022111918</v>
      </c>
      <c r="C560" s="5" t="str">
        <f t="shared" si="34"/>
        <v>19</v>
      </c>
      <c r="D560" s="5" t="str">
        <f>"18"</f>
        <v>18</v>
      </c>
      <c r="E560" s="6">
        <v>129</v>
      </c>
      <c r="F560" s="6">
        <v>99.9</v>
      </c>
      <c r="G560" s="6">
        <v>76.3</v>
      </c>
      <c r="H560" s="6" t="s">
        <v>9</v>
      </c>
    </row>
    <row r="561" ht="20.1" customHeight="1" spans="1:8">
      <c r="A561" s="5" t="str">
        <f t="shared" si="33"/>
        <v>221006</v>
      </c>
      <c r="B561" s="5" t="str">
        <f>"2022111919"</f>
        <v>2022111919</v>
      </c>
      <c r="C561" s="5" t="str">
        <f t="shared" si="34"/>
        <v>19</v>
      </c>
      <c r="D561" s="5" t="str">
        <f>"19"</f>
        <v>19</v>
      </c>
      <c r="E561" s="6">
        <v>0</v>
      </c>
      <c r="F561" s="6">
        <v>0</v>
      </c>
      <c r="G561" s="6">
        <v>0</v>
      </c>
      <c r="H561" s="6" t="s">
        <v>10</v>
      </c>
    </row>
    <row r="562" ht="20.1" customHeight="1" spans="1:8">
      <c r="A562" s="5" t="str">
        <f t="shared" si="33"/>
        <v>221006</v>
      </c>
      <c r="B562" s="5" t="str">
        <f>"2022111920"</f>
        <v>2022111920</v>
      </c>
      <c r="C562" s="5" t="str">
        <f t="shared" si="34"/>
        <v>19</v>
      </c>
      <c r="D562" s="5" t="str">
        <f>"20"</f>
        <v>20</v>
      </c>
      <c r="E562" s="6">
        <v>118.5</v>
      </c>
      <c r="F562" s="6">
        <v>84.6</v>
      </c>
      <c r="G562" s="6">
        <v>67.7</v>
      </c>
      <c r="H562" s="6" t="s">
        <v>9</v>
      </c>
    </row>
    <row r="563" ht="20.1" customHeight="1" spans="1:8">
      <c r="A563" s="5" t="str">
        <f t="shared" si="33"/>
        <v>221006</v>
      </c>
      <c r="B563" s="5" t="str">
        <f>"2022111921"</f>
        <v>2022111921</v>
      </c>
      <c r="C563" s="5" t="str">
        <f t="shared" si="34"/>
        <v>19</v>
      </c>
      <c r="D563" s="5" t="str">
        <f>"21"</f>
        <v>21</v>
      </c>
      <c r="E563" s="6">
        <v>0</v>
      </c>
      <c r="F563" s="6">
        <v>0</v>
      </c>
      <c r="G563" s="6">
        <v>0</v>
      </c>
      <c r="H563" s="6" t="s">
        <v>10</v>
      </c>
    </row>
    <row r="564" ht="20.1" customHeight="1" spans="1:8">
      <c r="A564" s="5" t="str">
        <f t="shared" si="33"/>
        <v>221006</v>
      </c>
      <c r="B564" s="5" t="str">
        <f>"2022111922"</f>
        <v>2022111922</v>
      </c>
      <c r="C564" s="5" t="str">
        <f t="shared" si="34"/>
        <v>19</v>
      </c>
      <c r="D564" s="5" t="str">
        <f>"22"</f>
        <v>22</v>
      </c>
      <c r="E564" s="6">
        <v>0</v>
      </c>
      <c r="F564" s="6">
        <v>0</v>
      </c>
      <c r="G564" s="6">
        <v>0</v>
      </c>
      <c r="H564" s="6" t="s">
        <v>10</v>
      </c>
    </row>
    <row r="565" ht="20.1" customHeight="1" spans="1:8">
      <c r="A565" s="5" t="str">
        <f t="shared" si="33"/>
        <v>221006</v>
      </c>
      <c r="B565" s="5" t="str">
        <f>"2022111923"</f>
        <v>2022111923</v>
      </c>
      <c r="C565" s="5" t="str">
        <f t="shared" si="34"/>
        <v>19</v>
      </c>
      <c r="D565" s="5" t="str">
        <f>"23"</f>
        <v>23</v>
      </c>
      <c r="E565" s="6">
        <v>118.5</v>
      </c>
      <c r="F565" s="6">
        <v>116.9</v>
      </c>
      <c r="G565" s="6">
        <v>78.4666666666667</v>
      </c>
      <c r="H565" s="6" t="s">
        <v>9</v>
      </c>
    </row>
    <row r="566" ht="20.1" customHeight="1" spans="1:8">
      <c r="A566" s="5" t="str">
        <f t="shared" si="33"/>
        <v>221006</v>
      </c>
      <c r="B566" s="5" t="str">
        <f>"2022111924"</f>
        <v>2022111924</v>
      </c>
      <c r="C566" s="5" t="str">
        <f t="shared" si="34"/>
        <v>19</v>
      </c>
      <c r="D566" s="5" t="str">
        <f>"24"</f>
        <v>24</v>
      </c>
      <c r="E566" s="6">
        <v>126</v>
      </c>
      <c r="F566" s="6">
        <v>116</v>
      </c>
      <c r="G566" s="6">
        <v>80.6666666666667</v>
      </c>
      <c r="H566" s="6" t="s">
        <v>9</v>
      </c>
    </row>
    <row r="567" ht="20.1" customHeight="1" spans="1:8">
      <c r="A567" s="5" t="str">
        <f t="shared" si="33"/>
        <v>221006</v>
      </c>
      <c r="B567" s="5" t="str">
        <f>"2022111925"</f>
        <v>2022111925</v>
      </c>
      <c r="C567" s="5" t="str">
        <f t="shared" si="34"/>
        <v>19</v>
      </c>
      <c r="D567" s="5" t="str">
        <f>"25"</f>
        <v>25</v>
      </c>
      <c r="E567" s="6">
        <v>0</v>
      </c>
      <c r="F567" s="6">
        <v>0</v>
      </c>
      <c r="G567" s="6">
        <v>0</v>
      </c>
      <c r="H567" s="6" t="s">
        <v>10</v>
      </c>
    </row>
    <row r="568" ht="20.1" customHeight="1" spans="1:8">
      <c r="A568" s="5" t="str">
        <f t="shared" si="33"/>
        <v>221006</v>
      </c>
      <c r="B568" s="5" t="str">
        <f>"2022111926"</f>
        <v>2022111926</v>
      </c>
      <c r="C568" s="5" t="str">
        <f t="shared" si="34"/>
        <v>19</v>
      </c>
      <c r="D568" s="5" t="str">
        <f>"26"</f>
        <v>26</v>
      </c>
      <c r="E568" s="6">
        <v>118.5</v>
      </c>
      <c r="F568" s="6">
        <v>102.6</v>
      </c>
      <c r="G568" s="6">
        <v>73.7</v>
      </c>
      <c r="H568" s="6" t="s">
        <v>9</v>
      </c>
    </row>
    <row r="569" ht="20.1" customHeight="1" spans="1:8">
      <c r="A569" s="5" t="str">
        <f t="shared" si="33"/>
        <v>221006</v>
      </c>
      <c r="B569" s="5" t="str">
        <f>"2022111927"</f>
        <v>2022111927</v>
      </c>
      <c r="C569" s="5" t="str">
        <f t="shared" si="34"/>
        <v>19</v>
      </c>
      <c r="D569" s="5" t="str">
        <f>"27"</f>
        <v>27</v>
      </c>
      <c r="E569" s="6">
        <v>102</v>
      </c>
      <c r="F569" s="6">
        <v>92.6</v>
      </c>
      <c r="G569" s="6">
        <v>64.8666666666667</v>
      </c>
      <c r="H569" s="6" t="s">
        <v>9</v>
      </c>
    </row>
    <row r="570" ht="20.1" customHeight="1" spans="1:8">
      <c r="A570" s="5" t="str">
        <f t="shared" si="33"/>
        <v>221006</v>
      </c>
      <c r="B570" s="5" t="str">
        <f>"2022111928"</f>
        <v>2022111928</v>
      </c>
      <c r="C570" s="5" t="str">
        <f t="shared" si="34"/>
        <v>19</v>
      </c>
      <c r="D570" s="5" t="str">
        <f>"28"</f>
        <v>28</v>
      </c>
      <c r="E570" s="6">
        <v>120</v>
      </c>
      <c r="F570" s="6">
        <v>102.9</v>
      </c>
      <c r="G570" s="6">
        <v>74.3</v>
      </c>
      <c r="H570" s="6" t="s">
        <v>9</v>
      </c>
    </row>
    <row r="571" ht="20.1" customHeight="1" spans="1:8">
      <c r="A571" s="5" t="str">
        <f t="shared" si="33"/>
        <v>221006</v>
      </c>
      <c r="B571" s="5" t="str">
        <f>"2022111929"</f>
        <v>2022111929</v>
      </c>
      <c r="C571" s="5" t="str">
        <f t="shared" si="34"/>
        <v>19</v>
      </c>
      <c r="D571" s="5" t="str">
        <f>"29"</f>
        <v>29</v>
      </c>
      <c r="E571" s="6">
        <v>118.5</v>
      </c>
      <c r="F571" s="6">
        <v>117.3</v>
      </c>
      <c r="G571" s="6">
        <v>78.6</v>
      </c>
      <c r="H571" s="6" t="s">
        <v>9</v>
      </c>
    </row>
    <row r="572" ht="20.1" customHeight="1" spans="1:8">
      <c r="A572" s="5" t="str">
        <f t="shared" si="33"/>
        <v>221006</v>
      </c>
      <c r="B572" s="5" t="str">
        <f>"2022111930"</f>
        <v>2022111930</v>
      </c>
      <c r="C572" s="5" t="str">
        <f t="shared" si="34"/>
        <v>19</v>
      </c>
      <c r="D572" s="5" t="str">
        <f>"30"</f>
        <v>30</v>
      </c>
      <c r="E572" s="6">
        <v>118.5</v>
      </c>
      <c r="F572" s="6">
        <v>92</v>
      </c>
      <c r="G572" s="6">
        <v>70.1666666666667</v>
      </c>
      <c r="H572" s="6" t="s">
        <v>9</v>
      </c>
    </row>
    <row r="573" ht="20.1" customHeight="1" spans="1:8">
      <c r="A573" s="5" t="str">
        <f t="shared" si="33"/>
        <v>221006</v>
      </c>
      <c r="B573" s="5" t="str">
        <f>"2022112001"</f>
        <v>2022112001</v>
      </c>
      <c r="C573" s="5" t="str">
        <f t="shared" ref="C573:C602" si="35">"20"</f>
        <v>20</v>
      </c>
      <c r="D573" s="5" t="str">
        <f>"01"</f>
        <v>01</v>
      </c>
      <c r="E573" s="6">
        <v>123</v>
      </c>
      <c r="F573" s="6">
        <v>105.7</v>
      </c>
      <c r="G573" s="6">
        <v>76.2333333333333</v>
      </c>
      <c r="H573" s="6" t="s">
        <v>9</v>
      </c>
    </row>
    <row r="574" ht="20.1" customHeight="1" spans="1:8">
      <c r="A574" s="5" t="str">
        <f t="shared" si="33"/>
        <v>221006</v>
      </c>
      <c r="B574" s="5" t="str">
        <f>"2022112002"</f>
        <v>2022112002</v>
      </c>
      <c r="C574" s="5" t="str">
        <f t="shared" si="35"/>
        <v>20</v>
      </c>
      <c r="D574" s="5" t="str">
        <f>"02"</f>
        <v>02</v>
      </c>
      <c r="E574" s="6">
        <v>88.5</v>
      </c>
      <c r="F574" s="6">
        <v>107.2</v>
      </c>
      <c r="G574" s="6">
        <v>65.2333333333333</v>
      </c>
      <c r="H574" s="6" t="s">
        <v>9</v>
      </c>
    </row>
    <row r="575" ht="20.1" customHeight="1" spans="1:8">
      <c r="A575" s="5" t="str">
        <f t="shared" si="33"/>
        <v>221006</v>
      </c>
      <c r="B575" s="5" t="str">
        <f>"2022112003"</f>
        <v>2022112003</v>
      </c>
      <c r="C575" s="5" t="str">
        <f t="shared" si="35"/>
        <v>20</v>
      </c>
      <c r="D575" s="5" t="str">
        <f>"03"</f>
        <v>03</v>
      </c>
      <c r="E575" s="6">
        <v>124.5</v>
      </c>
      <c r="F575" s="6">
        <v>108</v>
      </c>
      <c r="G575" s="6">
        <v>77.5</v>
      </c>
      <c r="H575" s="6" t="s">
        <v>9</v>
      </c>
    </row>
    <row r="576" ht="20.1" customHeight="1" spans="1:8">
      <c r="A576" s="5" t="str">
        <f t="shared" si="33"/>
        <v>221006</v>
      </c>
      <c r="B576" s="5" t="str">
        <f>"2022112004"</f>
        <v>2022112004</v>
      </c>
      <c r="C576" s="5" t="str">
        <f t="shared" si="35"/>
        <v>20</v>
      </c>
      <c r="D576" s="5" t="str">
        <f>"04"</f>
        <v>04</v>
      </c>
      <c r="E576" s="6">
        <v>0</v>
      </c>
      <c r="F576" s="6">
        <v>0</v>
      </c>
      <c r="G576" s="6">
        <v>0</v>
      </c>
      <c r="H576" s="6" t="s">
        <v>10</v>
      </c>
    </row>
    <row r="577" ht="20.1" customHeight="1" spans="1:8">
      <c r="A577" s="5" t="str">
        <f t="shared" si="33"/>
        <v>221006</v>
      </c>
      <c r="B577" s="5" t="str">
        <f>"2022112005"</f>
        <v>2022112005</v>
      </c>
      <c r="C577" s="5" t="str">
        <f t="shared" si="35"/>
        <v>20</v>
      </c>
      <c r="D577" s="5" t="str">
        <f>"05"</f>
        <v>05</v>
      </c>
      <c r="E577" s="6">
        <v>106.5</v>
      </c>
      <c r="F577" s="6">
        <v>110.3</v>
      </c>
      <c r="G577" s="6">
        <v>72.2666666666667</v>
      </c>
      <c r="H577" s="6" t="s">
        <v>9</v>
      </c>
    </row>
    <row r="578" ht="20.1" customHeight="1" spans="1:8">
      <c r="A578" s="5" t="str">
        <f t="shared" si="33"/>
        <v>221006</v>
      </c>
      <c r="B578" s="5" t="str">
        <f>"2022112006"</f>
        <v>2022112006</v>
      </c>
      <c r="C578" s="5" t="str">
        <f t="shared" si="35"/>
        <v>20</v>
      </c>
      <c r="D578" s="5" t="str">
        <f>"06"</f>
        <v>06</v>
      </c>
      <c r="E578" s="6">
        <v>102</v>
      </c>
      <c r="F578" s="6">
        <v>112.8</v>
      </c>
      <c r="G578" s="6">
        <v>71.6</v>
      </c>
      <c r="H578" s="6" t="s">
        <v>9</v>
      </c>
    </row>
    <row r="579" ht="20.1" customHeight="1" spans="1:8">
      <c r="A579" s="5" t="str">
        <f t="shared" si="33"/>
        <v>221006</v>
      </c>
      <c r="B579" s="5" t="str">
        <f>"2022112007"</f>
        <v>2022112007</v>
      </c>
      <c r="C579" s="5" t="str">
        <f t="shared" si="35"/>
        <v>20</v>
      </c>
      <c r="D579" s="5" t="str">
        <f>"07"</f>
        <v>07</v>
      </c>
      <c r="E579" s="6">
        <v>135</v>
      </c>
      <c r="F579" s="6">
        <v>108.4</v>
      </c>
      <c r="G579" s="6">
        <v>81.1333333333333</v>
      </c>
      <c r="H579" s="7" t="s">
        <v>11</v>
      </c>
    </row>
    <row r="580" ht="20.1" customHeight="1" spans="1:8">
      <c r="A580" s="5" t="str">
        <f t="shared" si="33"/>
        <v>221006</v>
      </c>
      <c r="B580" s="5" t="str">
        <f>"2022112008"</f>
        <v>2022112008</v>
      </c>
      <c r="C580" s="5" t="str">
        <f t="shared" si="35"/>
        <v>20</v>
      </c>
      <c r="D580" s="5" t="str">
        <f>"08"</f>
        <v>08</v>
      </c>
      <c r="E580" s="6">
        <v>0</v>
      </c>
      <c r="F580" s="6">
        <v>0</v>
      </c>
      <c r="G580" s="6">
        <v>0</v>
      </c>
      <c r="H580" s="6" t="s">
        <v>10</v>
      </c>
    </row>
    <row r="581" ht="20.1" customHeight="1" spans="1:8">
      <c r="A581" s="5" t="str">
        <f t="shared" si="33"/>
        <v>221006</v>
      </c>
      <c r="B581" s="5" t="str">
        <f>"2022112009"</f>
        <v>2022112009</v>
      </c>
      <c r="C581" s="5" t="str">
        <f t="shared" si="35"/>
        <v>20</v>
      </c>
      <c r="D581" s="5" t="str">
        <f>"09"</f>
        <v>09</v>
      </c>
      <c r="E581" s="6">
        <v>103.5</v>
      </c>
      <c r="F581" s="6">
        <v>105.6</v>
      </c>
      <c r="G581" s="6">
        <v>69.7</v>
      </c>
      <c r="H581" s="6" t="s">
        <v>9</v>
      </c>
    </row>
    <row r="582" ht="20.1" customHeight="1" spans="1:8">
      <c r="A582" s="5" t="str">
        <f t="shared" si="33"/>
        <v>221006</v>
      </c>
      <c r="B582" s="5" t="str">
        <f>"2022112010"</f>
        <v>2022112010</v>
      </c>
      <c r="C582" s="5" t="str">
        <f t="shared" si="35"/>
        <v>20</v>
      </c>
      <c r="D582" s="5" t="str">
        <f>"10"</f>
        <v>10</v>
      </c>
      <c r="E582" s="6">
        <v>103.5</v>
      </c>
      <c r="F582" s="6">
        <v>102.1</v>
      </c>
      <c r="G582" s="6">
        <v>68.5333333333333</v>
      </c>
      <c r="H582" s="6" t="s">
        <v>9</v>
      </c>
    </row>
    <row r="583" ht="20.1" customHeight="1" spans="1:8">
      <c r="A583" s="5" t="str">
        <f t="shared" si="33"/>
        <v>221006</v>
      </c>
      <c r="B583" s="5" t="str">
        <f>"2022112011"</f>
        <v>2022112011</v>
      </c>
      <c r="C583" s="5" t="str">
        <f t="shared" si="35"/>
        <v>20</v>
      </c>
      <c r="D583" s="5" t="str">
        <f>"11"</f>
        <v>11</v>
      </c>
      <c r="E583" s="6">
        <v>0</v>
      </c>
      <c r="F583" s="6">
        <v>0</v>
      </c>
      <c r="G583" s="6">
        <v>0</v>
      </c>
      <c r="H583" s="6" t="s">
        <v>10</v>
      </c>
    </row>
    <row r="584" ht="20.1" customHeight="1" spans="1:8">
      <c r="A584" s="5" t="str">
        <f t="shared" si="33"/>
        <v>221006</v>
      </c>
      <c r="B584" s="5" t="str">
        <f>"2022112012"</f>
        <v>2022112012</v>
      </c>
      <c r="C584" s="5" t="str">
        <f t="shared" si="35"/>
        <v>20</v>
      </c>
      <c r="D584" s="5" t="str">
        <f>"12"</f>
        <v>12</v>
      </c>
      <c r="E584" s="6">
        <v>123</v>
      </c>
      <c r="F584" s="6">
        <v>100.7</v>
      </c>
      <c r="G584" s="6">
        <v>74.5666666666667</v>
      </c>
      <c r="H584" s="6" t="s">
        <v>9</v>
      </c>
    </row>
    <row r="585" ht="20.1" customHeight="1" spans="1:8">
      <c r="A585" s="5" t="str">
        <f t="shared" si="33"/>
        <v>221006</v>
      </c>
      <c r="B585" s="5" t="str">
        <f>"2022112013"</f>
        <v>2022112013</v>
      </c>
      <c r="C585" s="5" t="str">
        <f t="shared" si="35"/>
        <v>20</v>
      </c>
      <c r="D585" s="5" t="str">
        <f>"13"</f>
        <v>13</v>
      </c>
      <c r="E585" s="6">
        <v>0</v>
      </c>
      <c r="F585" s="6">
        <v>0</v>
      </c>
      <c r="G585" s="6">
        <v>0</v>
      </c>
      <c r="H585" s="6" t="s">
        <v>10</v>
      </c>
    </row>
    <row r="586" ht="20.1" customHeight="1" spans="1:8">
      <c r="A586" s="5" t="str">
        <f t="shared" ref="A586:A649" si="36">"221006"</f>
        <v>221006</v>
      </c>
      <c r="B586" s="5" t="str">
        <f>"2022112014"</f>
        <v>2022112014</v>
      </c>
      <c r="C586" s="5" t="str">
        <f t="shared" si="35"/>
        <v>20</v>
      </c>
      <c r="D586" s="5" t="str">
        <f>"14"</f>
        <v>14</v>
      </c>
      <c r="E586" s="6">
        <v>120</v>
      </c>
      <c r="F586" s="6">
        <v>110.9</v>
      </c>
      <c r="G586" s="6">
        <v>76.9666666666667</v>
      </c>
      <c r="H586" s="6" t="s">
        <v>9</v>
      </c>
    </row>
    <row r="587" ht="20.1" customHeight="1" spans="1:8">
      <c r="A587" s="5" t="str">
        <f t="shared" si="36"/>
        <v>221006</v>
      </c>
      <c r="B587" s="5" t="str">
        <f>"2022112015"</f>
        <v>2022112015</v>
      </c>
      <c r="C587" s="5" t="str">
        <f t="shared" si="35"/>
        <v>20</v>
      </c>
      <c r="D587" s="5" t="str">
        <f>"15"</f>
        <v>15</v>
      </c>
      <c r="E587" s="6">
        <v>123</v>
      </c>
      <c r="F587" s="6">
        <v>110.5</v>
      </c>
      <c r="G587" s="6">
        <v>77.8333333333333</v>
      </c>
      <c r="H587" s="6" t="s">
        <v>9</v>
      </c>
    </row>
    <row r="588" ht="20.1" customHeight="1" spans="1:8">
      <c r="A588" s="5" t="str">
        <f t="shared" si="36"/>
        <v>221006</v>
      </c>
      <c r="B588" s="5" t="str">
        <f>"2022112016"</f>
        <v>2022112016</v>
      </c>
      <c r="C588" s="5" t="str">
        <f t="shared" si="35"/>
        <v>20</v>
      </c>
      <c r="D588" s="5" t="str">
        <f>"16"</f>
        <v>16</v>
      </c>
      <c r="E588" s="6">
        <v>129</v>
      </c>
      <c r="F588" s="6">
        <v>110.2</v>
      </c>
      <c r="G588" s="6">
        <v>79.7333333333333</v>
      </c>
      <c r="H588" s="6" t="s">
        <v>9</v>
      </c>
    </row>
    <row r="589" ht="20.1" customHeight="1" spans="1:8">
      <c r="A589" s="5" t="str">
        <f t="shared" si="36"/>
        <v>221006</v>
      </c>
      <c r="B589" s="5" t="str">
        <f>"2022112017"</f>
        <v>2022112017</v>
      </c>
      <c r="C589" s="5" t="str">
        <f t="shared" si="35"/>
        <v>20</v>
      </c>
      <c r="D589" s="5" t="str">
        <f>"17"</f>
        <v>17</v>
      </c>
      <c r="E589" s="6">
        <v>111</v>
      </c>
      <c r="F589" s="6">
        <v>106.9</v>
      </c>
      <c r="G589" s="6">
        <v>72.6333333333333</v>
      </c>
      <c r="H589" s="6" t="s">
        <v>9</v>
      </c>
    </row>
    <row r="590" ht="20.1" customHeight="1" spans="1:8">
      <c r="A590" s="5" t="str">
        <f t="shared" si="36"/>
        <v>221006</v>
      </c>
      <c r="B590" s="5" t="str">
        <f>"2022112018"</f>
        <v>2022112018</v>
      </c>
      <c r="C590" s="5" t="str">
        <f t="shared" si="35"/>
        <v>20</v>
      </c>
      <c r="D590" s="5" t="str">
        <f>"18"</f>
        <v>18</v>
      </c>
      <c r="E590" s="6">
        <v>0</v>
      </c>
      <c r="F590" s="6">
        <v>0</v>
      </c>
      <c r="G590" s="6">
        <v>0</v>
      </c>
      <c r="H590" s="6" t="s">
        <v>10</v>
      </c>
    </row>
    <row r="591" ht="20.1" customHeight="1" spans="1:8">
      <c r="A591" s="5" t="str">
        <f t="shared" si="36"/>
        <v>221006</v>
      </c>
      <c r="B591" s="5" t="str">
        <f>"2022112019"</f>
        <v>2022112019</v>
      </c>
      <c r="C591" s="5" t="str">
        <f t="shared" si="35"/>
        <v>20</v>
      </c>
      <c r="D591" s="5" t="str">
        <f>"19"</f>
        <v>19</v>
      </c>
      <c r="E591" s="6">
        <v>93</v>
      </c>
      <c r="F591" s="6">
        <v>109.1</v>
      </c>
      <c r="G591" s="6">
        <v>67.3666666666667</v>
      </c>
      <c r="H591" s="6" t="s">
        <v>9</v>
      </c>
    </row>
    <row r="592" ht="20.1" customHeight="1" spans="1:8">
      <c r="A592" s="5" t="str">
        <f t="shared" si="36"/>
        <v>221006</v>
      </c>
      <c r="B592" s="5" t="str">
        <f>"2022112020"</f>
        <v>2022112020</v>
      </c>
      <c r="C592" s="5" t="str">
        <f t="shared" si="35"/>
        <v>20</v>
      </c>
      <c r="D592" s="5" t="str">
        <f>"20"</f>
        <v>20</v>
      </c>
      <c r="E592" s="6">
        <v>0</v>
      </c>
      <c r="F592" s="6">
        <v>0</v>
      </c>
      <c r="G592" s="6">
        <v>0</v>
      </c>
      <c r="H592" s="6" t="s">
        <v>10</v>
      </c>
    </row>
    <row r="593" ht="20.1" customHeight="1" spans="1:8">
      <c r="A593" s="5" t="str">
        <f t="shared" si="36"/>
        <v>221006</v>
      </c>
      <c r="B593" s="5" t="str">
        <f>"2022112021"</f>
        <v>2022112021</v>
      </c>
      <c r="C593" s="5" t="str">
        <f t="shared" si="35"/>
        <v>20</v>
      </c>
      <c r="D593" s="5" t="str">
        <f>"21"</f>
        <v>21</v>
      </c>
      <c r="E593" s="6">
        <v>118.5</v>
      </c>
      <c r="F593" s="6">
        <v>114.1</v>
      </c>
      <c r="G593" s="6">
        <v>77.5333333333333</v>
      </c>
      <c r="H593" s="6" t="s">
        <v>9</v>
      </c>
    </row>
    <row r="594" ht="20.1" customHeight="1" spans="1:8">
      <c r="A594" s="5" t="str">
        <f t="shared" si="36"/>
        <v>221006</v>
      </c>
      <c r="B594" s="5" t="str">
        <f>"2022112022"</f>
        <v>2022112022</v>
      </c>
      <c r="C594" s="5" t="str">
        <f t="shared" si="35"/>
        <v>20</v>
      </c>
      <c r="D594" s="5" t="str">
        <f>"22"</f>
        <v>22</v>
      </c>
      <c r="E594" s="6">
        <v>0</v>
      </c>
      <c r="F594" s="6">
        <v>0</v>
      </c>
      <c r="G594" s="6">
        <v>0</v>
      </c>
      <c r="H594" s="6" t="s">
        <v>10</v>
      </c>
    </row>
    <row r="595" ht="20.1" customHeight="1" spans="1:8">
      <c r="A595" s="5" t="str">
        <f t="shared" si="36"/>
        <v>221006</v>
      </c>
      <c r="B595" s="5" t="str">
        <f>"2022112023"</f>
        <v>2022112023</v>
      </c>
      <c r="C595" s="5" t="str">
        <f t="shared" si="35"/>
        <v>20</v>
      </c>
      <c r="D595" s="5" t="str">
        <f>"23"</f>
        <v>23</v>
      </c>
      <c r="E595" s="6">
        <v>108</v>
      </c>
      <c r="F595" s="6">
        <v>104.7</v>
      </c>
      <c r="G595" s="6">
        <v>70.9</v>
      </c>
      <c r="H595" s="6" t="s">
        <v>9</v>
      </c>
    </row>
    <row r="596" ht="20.1" customHeight="1" spans="1:8">
      <c r="A596" s="5" t="str">
        <f t="shared" si="36"/>
        <v>221006</v>
      </c>
      <c r="B596" s="5" t="str">
        <f>"2022112024"</f>
        <v>2022112024</v>
      </c>
      <c r="C596" s="5" t="str">
        <f t="shared" si="35"/>
        <v>20</v>
      </c>
      <c r="D596" s="5" t="str">
        <f>"24"</f>
        <v>24</v>
      </c>
      <c r="E596" s="6">
        <v>0</v>
      </c>
      <c r="F596" s="6">
        <v>0</v>
      </c>
      <c r="G596" s="6">
        <v>0</v>
      </c>
      <c r="H596" s="6" t="s">
        <v>10</v>
      </c>
    </row>
    <row r="597" ht="20.1" customHeight="1" spans="1:8">
      <c r="A597" s="5" t="str">
        <f t="shared" si="36"/>
        <v>221006</v>
      </c>
      <c r="B597" s="5" t="str">
        <f>"2022112025"</f>
        <v>2022112025</v>
      </c>
      <c r="C597" s="5" t="str">
        <f t="shared" si="35"/>
        <v>20</v>
      </c>
      <c r="D597" s="5" t="str">
        <f>"25"</f>
        <v>25</v>
      </c>
      <c r="E597" s="6">
        <v>0</v>
      </c>
      <c r="F597" s="6">
        <v>0</v>
      </c>
      <c r="G597" s="6">
        <v>0</v>
      </c>
      <c r="H597" s="6" t="s">
        <v>10</v>
      </c>
    </row>
    <row r="598" ht="20.1" customHeight="1" spans="1:8">
      <c r="A598" s="5" t="str">
        <f t="shared" si="36"/>
        <v>221006</v>
      </c>
      <c r="B598" s="5" t="str">
        <f>"2022112026"</f>
        <v>2022112026</v>
      </c>
      <c r="C598" s="5" t="str">
        <f t="shared" si="35"/>
        <v>20</v>
      </c>
      <c r="D598" s="5" t="str">
        <f>"26"</f>
        <v>26</v>
      </c>
      <c r="E598" s="6">
        <v>0</v>
      </c>
      <c r="F598" s="6">
        <v>0</v>
      </c>
      <c r="G598" s="6">
        <v>0</v>
      </c>
      <c r="H598" s="6" t="s">
        <v>10</v>
      </c>
    </row>
    <row r="599" ht="20.1" customHeight="1" spans="1:8">
      <c r="A599" s="5" t="str">
        <f t="shared" si="36"/>
        <v>221006</v>
      </c>
      <c r="B599" s="5" t="str">
        <f>"2022112027"</f>
        <v>2022112027</v>
      </c>
      <c r="C599" s="5" t="str">
        <f t="shared" si="35"/>
        <v>20</v>
      </c>
      <c r="D599" s="5" t="str">
        <f>"27"</f>
        <v>27</v>
      </c>
      <c r="E599" s="6">
        <v>0</v>
      </c>
      <c r="F599" s="6">
        <v>0</v>
      </c>
      <c r="G599" s="6">
        <v>0</v>
      </c>
      <c r="H599" s="6" t="s">
        <v>10</v>
      </c>
    </row>
    <row r="600" ht="20.1" customHeight="1" spans="1:8">
      <c r="A600" s="5" t="str">
        <f t="shared" si="36"/>
        <v>221006</v>
      </c>
      <c r="B600" s="5" t="str">
        <f>"2022112028"</f>
        <v>2022112028</v>
      </c>
      <c r="C600" s="5" t="str">
        <f t="shared" si="35"/>
        <v>20</v>
      </c>
      <c r="D600" s="5" t="str">
        <f>"28"</f>
        <v>28</v>
      </c>
      <c r="E600" s="6">
        <v>112.5</v>
      </c>
      <c r="F600" s="6">
        <v>111.7</v>
      </c>
      <c r="G600" s="6">
        <v>74.7333333333333</v>
      </c>
      <c r="H600" s="6" t="s">
        <v>9</v>
      </c>
    </row>
    <row r="601" ht="20.1" customHeight="1" spans="1:8">
      <c r="A601" s="5" t="str">
        <f t="shared" si="36"/>
        <v>221006</v>
      </c>
      <c r="B601" s="5" t="str">
        <f>"2022112029"</f>
        <v>2022112029</v>
      </c>
      <c r="C601" s="5" t="str">
        <f t="shared" si="35"/>
        <v>20</v>
      </c>
      <c r="D601" s="5" t="str">
        <f>"29"</f>
        <v>29</v>
      </c>
      <c r="E601" s="6">
        <v>93</v>
      </c>
      <c r="F601" s="6">
        <v>117.2</v>
      </c>
      <c r="G601" s="6">
        <v>70.0666666666667</v>
      </c>
      <c r="H601" s="6" t="s">
        <v>9</v>
      </c>
    </row>
    <row r="602" ht="20.1" customHeight="1" spans="1:8">
      <c r="A602" s="5" t="str">
        <f t="shared" si="36"/>
        <v>221006</v>
      </c>
      <c r="B602" s="5" t="str">
        <f>"2022112030"</f>
        <v>2022112030</v>
      </c>
      <c r="C602" s="5" t="str">
        <f t="shared" si="35"/>
        <v>20</v>
      </c>
      <c r="D602" s="5" t="str">
        <f>"30"</f>
        <v>30</v>
      </c>
      <c r="E602" s="6">
        <v>96</v>
      </c>
      <c r="F602" s="6">
        <v>89.8</v>
      </c>
      <c r="G602" s="6">
        <v>61.9333333333333</v>
      </c>
      <c r="H602" s="6" t="s">
        <v>9</v>
      </c>
    </row>
    <row r="603" ht="20.1" customHeight="1" spans="1:8">
      <c r="A603" s="5" t="str">
        <f t="shared" si="36"/>
        <v>221006</v>
      </c>
      <c r="B603" s="5" t="str">
        <f>"2022112101"</f>
        <v>2022112101</v>
      </c>
      <c r="C603" s="5" t="str">
        <f t="shared" ref="C603:C632" si="37">"21"</f>
        <v>21</v>
      </c>
      <c r="D603" s="5" t="str">
        <f>"01"</f>
        <v>01</v>
      </c>
      <c r="E603" s="6">
        <v>87</v>
      </c>
      <c r="F603" s="6">
        <v>79.4</v>
      </c>
      <c r="G603" s="6">
        <v>55.4666666666667</v>
      </c>
      <c r="H603" s="6" t="s">
        <v>9</v>
      </c>
    </row>
    <row r="604" ht="20.1" customHeight="1" spans="1:8">
      <c r="A604" s="5" t="str">
        <f t="shared" si="36"/>
        <v>221006</v>
      </c>
      <c r="B604" s="5" t="str">
        <f>"2022112102"</f>
        <v>2022112102</v>
      </c>
      <c r="C604" s="5" t="str">
        <f t="shared" si="37"/>
        <v>21</v>
      </c>
      <c r="D604" s="5" t="str">
        <f>"02"</f>
        <v>02</v>
      </c>
      <c r="E604" s="6">
        <v>129</v>
      </c>
      <c r="F604" s="6">
        <v>115</v>
      </c>
      <c r="G604" s="6">
        <v>81.3333333333333</v>
      </c>
      <c r="H604" s="7" t="s">
        <v>11</v>
      </c>
    </row>
    <row r="605" ht="20.1" customHeight="1" spans="1:8">
      <c r="A605" s="5" t="str">
        <f t="shared" si="36"/>
        <v>221006</v>
      </c>
      <c r="B605" s="5" t="str">
        <f>"2022112103"</f>
        <v>2022112103</v>
      </c>
      <c r="C605" s="5" t="str">
        <f t="shared" si="37"/>
        <v>21</v>
      </c>
      <c r="D605" s="5" t="str">
        <f>"03"</f>
        <v>03</v>
      </c>
      <c r="E605" s="6">
        <v>0</v>
      </c>
      <c r="F605" s="6">
        <v>0</v>
      </c>
      <c r="G605" s="6">
        <v>0</v>
      </c>
      <c r="H605" s="6" t="s">
        <v>10</v>
      </c>
    </row>
    <row r="606" ht="20.1" customHeight="1" spans="1:8">
      <c r="A606" s="5" t="str">
        <f t="shared" si="36"/>
        <v>221006</v>
      </c>
      <c r="B606" s="5" t="str">
        <f>"2022112104"</f>
        <v>2022112104</v>
      </c>
      <c r="C606" s="5" t="str">
        <f t="shared" si="37"/>
        <v>21</v>
      </c>
      <c r="D606" s="5" t="str">
        <f>"04"</f>
        <v>04</v>
      </c>
      <c r="E606" s="6">
        <v>103.5</v>
      </c>
      <c r="F606" s="6">
        <v>97.5</v>
      </c>
      <c r="G606" s="6">
        <v>67</v>
      </c>
      <c r="H606" s="6" t="s">
        <v>9</v>
      </c>
    </row>
    <row r="607" ht="20.1" customHeight="1" spans="1:8">
      <c r="A607" s="5" t="str">
        <f t="shared" si="36"/>
        <v>221006</v>
      </c>
      <c r="B607" s="5" t="str">
        <f>"2022112105"</f>
        <v>2022112105</v>
      </c>
      <c r="C607" s="5" t="str">
        <f t="shared" si="37"/>
        <v>21</v>
      </c>
      <c r="D607" s="5" t="str">
        <f>"05"</f>
        <v>05</v>
      </c>
      <c r="E607" s="6">
        <v>0</v>
      </c>
      <c r="F607" s="6">
        <v>0</v>
      </c>
      <c r="G607" s="6">
        <v>0</v>
      </c>
      <c r="H607" s="6" t="s">
        <v>10</v>
      </c>
    </row>
    <row r="608" ht="20.1" customHeight="1" spans="1:8">
      <c r="A608" s="5" t="str">
        <f t="shared" si="36"/>
        <v>221006</v>
      </c>
      <c r="B608" s="5" t="str">
        <f>"2022112106"</f>
        <v>2022112106</v>
      </c>
      <c r="C608" s="5" t="str">
        <f t="shared" si="37"/>
        <v>21</v>
      </c>
      <c r="D608" s="5" t="str">
        <f>"06"</f>
        <v>06</v>
      </c>
      <c r="E608" s="6">
        <v>0</v>
      </c>
      <c r="F608" s="6">
        <v>0</v>
      </c>
      <c r="G608" s="6">
        <v>0</v>
      </c>
      <c r="H608" s="6" t="s">
        <v>10</v>
      </c>
    </row>
    <row r="609" ht="20.1" customHeight="1" spans="1:8">
      <c r="A609" s="5" t="str">
        <f t="shared" si="36"/>
        <v>221006</v>
      </c>
      <c r="B609" s="5" t="str">
        <f>"2022112107"</f>
        <v>2022112107</v>
      </c>
      <c r="C609" s="5" t="str">
        <f t="shared" si="37"/>
        <v>21</v>
      </c>
      <c r="D609" s="5" t="str">
        <f>"07"</f>
        <v>07</v>
      </c>
      <c r="E609" s="6">
        <v>127.5</v>
      </c>
      <c r="F609" s="6">
        <v>109.9</v>
      </c>
      <c r="G609" s="6">
        <v>79.1333333333333</v>
      </c>
      <c r="H609" s="6" t="s">
        <v>9</v>
      </c>
    </row>
    <row r="610" ht="20.1" customHeight="1" spans="1:8">
      <c r="A610" s="5" t="str">
        <f t="shared" si="36"/>
        <v>221006</v>
      </c>
      <c r="B610" s="5" t="str">
        <f>"2022112108"</f>
        <v>2022112108</v>
      </c>
      <c r="C610" s="5" t="str">
        <f t="shared" si="37"/>
        <v>21</v>
      </c>
      <c r="D610" s="5" t="str">
        <f>"08"</f>
        <v>08</v>
      </c>
      <c r="E610" s="6">
        <v>0</v>
      </c>
      <c r="F610" s="6">
        <v>0</v>
      </c>
      <c r="G610" s="6">
        <v>0</v>
      </c>
      <c r="H610" s="6" t="s">
        <v>10</v>
      </c>
    </row>
    <row r="611" ht="20.1" customHeight="1" spans="1:8">
      <c r="A611" s="5" t="str">
        <f t="shared" si="36"/>
        <v>221006</v>
      </c>
      <c r="B611" s="5" t="str">
        <f>"2022112109"</f>
        <v>2022112109</v>
      </c>
      <c r="C611" s="5" t="str">
        <f t="shared" si="37"/>
        <v>21</v>
      </c>
      <c r="D611" s="5" t="str">
        <f>"09"</f>
        <v>09</v>
      </c>
      <c r="E611" s="6">
        <v>0</v>
      </c>
      <c r="F611" s="6">
        <v>0</v>
      </c>
      <c r="G611" s="6">
        <v>0</v>
      </c>
      <c r="H611" s="6" t="s">
        <v>10</v>
      </c>
    </row>
    <row r="612" ht="20.1" customHeight="1" spans="1:8">
      <c r="A612" s="5" t="str">
        <f t="shared" si="36"/>
        <v>221006</v>
      </c>
      <c r="B612" s="5" t="str">
        <f>"2022112110"</f>
        <v>2022112110</v>
      </c>
      <c r="C612" s="5" t="str">
        <f t="shared" si="37"/>
        <v>21</v>
      </c>
      <c r="D612" s="5" t="str">
        <f>"10"</f>
        <v>10</v>
      </c>
      <c r="E612" s="6">
        <v>94.5</v>
      </c>
      <c r="F612" s="6">
        <v>111</v>
      </c>
      <c r="G612" s="6">
        <v>68.5</v>
      </c>
      <c r="H612" s="6" t="s">
        <v>9</v>
      </c>
    </row>
    <row r="613" ht="20.1" customHeight="1" spans="1:8">
      <c r="A613" s="5" t="str">
        <f t="shared" si="36"/>
        <v>221006</v>
      </c>
      <c r="B613" s="5" t="str">
        <f>"2022112111"</f>
        <v>2022112111</v>
      </c>
      <c r="C613" s="5" t="str">
        <f t="shared" si="37"/>
        <v>21</v>
      </c>
      <c r="D613" s="5" t="str">
        <f>"11"</f>
        <v>11</v>
      </c>
      <c r="E613" s="6">
        <v>108</v>
      </c>
      <c r="F613" s="6">
        <v>103.1</v>
      </c>
      <c r="G613" s="6">
        <v>70.3666666666667</v>
      </c>
      <c r="H613" s="6" t="s">
        <v>9</v>
      </c>
    </row>
    <row r="614" ht="20.1" customHeight="1" spans="1:8">
      <c r="A614" s="5" t="str">
        <f t="shared" si="36"/>
        <v>221006</v>
      </c>
      <c r="B614" s="5" t="str">
        <f>"2022112112"</f>
        <v>2022112112</v>
      </c>
      <c r="C614" s="5" t="str">
        <f t="shared" si="37"/>
        <v>21</v>
      </c>
      <c r="D614" s="5" t="str">
        <f>"12"</f>
        <v>12</v>
      </c>
      <c r="E614" s="6">
        <v>118.5</v>
      </c>
      <c r="F614" s="6">
        <v>100.2</v>
      </c>
      <c r="G614" s="6">
        <v>72.9</v>
      </c>
      <c r="H614" s="6" t="s">
        <v>9</v>
      </c>
    </row>
    <row r="615" ht="20.1" customHeight="1" spans="1:8">
      <c r="A615" s="5" t="str">
        <f t="shared" si="36"/>
        <v>221006</v>
      </c>
      <c r="B615" s="5" t="str">
        <f>"2022112113"</f>
        <v>2022112113</v>
      </c>
      <c r="C615" s="5" t="str">
        <f t="shared" si="37"/>
        <v>21</v>
      </c>
      <c r="D615" s="5" t="str">
        <f>"13"</f>
        <v>13</v>
      </c>
      <c r="E615" s="6">
        <v>0</v>
      </c>
      <c r="F615" s="6">
        <v>0</v>
      </c>
      <c r="G615" s="6">
        <v>0</v>
      </c>
      <c r="H615" s="6" t="s">
        <v>10</v>
      </c>
    </row>
    <row r="616" ht="20.1" customHeight="1" spans="1:8">
      <c r="A616" s="5" t="str">
        <f t="shared" si="36"/>
        <v>221006</v>
      </c>
      <c r="B616" s="5" t="str">
        <f>"2022112114"</f>
        <v>2022112114</v>
      </c>
      <c r="C616" s="5" t="str">
        <f t="shared" si="37"/>
        <v>21</v>
      </c>
      <c r="D616" s="5" t="str">
        <f>"14"</f>
        <v>14</v>
      </c>
      <c r="E616" s="6">
        <v>120</v>
      </c>
      <c r="F616" s="6">
        <v>107</v>
      </c>
      <c r="G616" s="6">
        <v>75.6666666666667</v>
      </c>
      <c r="H616" s="6" t="s">
        <v>9</v>
      </c>
    </row>
    <row r="617" ht="20.1" customHeight="1" spans="1:8">
      <c r="A617" s="5" t="str">
        <f t="shared" si="36"/>
        <v>221006</v>
      </c>
      <c r="B617" s="5" t="str">
        <f>"2022112115"</f>
        <v>2022112115</v>
      </c>
      <c r="C617" s="5" t="str">
        <f t="shared" si="37"/>
        <v>21</v>
      </c>
      <c r="D617" s="5" t="str">
        <f>"15"</f>
        <v>15</v>
      </c>
      <c r="E617" s="6">
        <v>0</v>
      </c>
      <c r="F617" s="6">
        <v>0</v>
      </c>
      <c r="G617" s="6">
        <v>0</v>
      </c>
      <c r="H617" s="6" t="s">
        <v>10</v>
      </c>
    </row>
    <row r="618" ht="20.1" customHeight="1" spans="1:8">
      <c r="A618" s="5" t="str">
        <f t="shared" si="36"/>
        <v>221006</v>
      </c>
      <c r="B618" s="5" t="str">
        <f>"2022112116"</f>
        <v>2022112116</v>
      </c>
      <c r="C618" s="5" t="str">
        <f t="shared" si="37"/>
        <v>21</v>
      </c>
      <c r="D618" s="5" t="str">
        <f>"16"</f>
        <v>16</v>
      </c>
      <c r="E618" s="6">
        <v>0</v>
      </c>
      <c r="F618" s="6">
        <v>0</v>
      </c>
      <c r="G618" s="6">
        <v>0</v>
      </c>
      <c r="H618" s="6" t="s">
        <v>10</v>
      </c>
    </row>
    <row r="619" ht="20.1" customHeight="1" spans="1:8">
      <c r="A619" s="5" t="str">
        <f t="shared" si="36"/>
        <v>221006</v>
      </c>
      <c r="B619" s="5" t="str">
        <f>"2022112117"</f>
        <v>2022112117</v>
      </c>
      <c r="C619" s="5" t="str">
        <f t="shared" si="37"/>
        <v>21</v>
      </c>
      <c r="D619" s="5" t="str">
        <f>"17"</f>
        <v>17</v>
      </c>
      <c r="E619" s="6">
        <v>0</v>
      </c>
      <c r="F619" s="6">
        <v>0</v>
      </c>
      <c r="G619" s="6">
        <v>0</v>
      </c>
      <c r="H619" s="6" t="s">
        <v>10</v>
      </c>
    </row>
    <row r="620" ht="20.1" customHeight="1" spans="1:8">
      <c r="A620" s="5" t="str">
        <f t="shared" si="36"/>
        <v>221006</v>
      </c>
      <c r="B620" s="5" t="str">
        <f>"2022112118"</f>
        <v>2022112118</v>
      </c>
      <c r="C620" s="5" t="str">
        <f t="shared" si="37"/>
        <v>21</v>
      </c>
      <c r="D620" s="5" t="str">
        <f>"18"</f>
        <v>18</v>
      </c>
      <c r="E620" s="6">
        <v>0</v>
      </c>
      <c r="F620" s="6">
        <v>0</v>
      </c>
      <c r="G620" s="6">
        <v>0</v>
      </c>
      <c r="H620" s="6" t="s">
        <v>10</v>
      </c>
    </row>
    <row r="621" ht="20.1" customHeight="1" spans="1:8">
      <c r="A621" s="5" t="str">
        <f t="shared" si="36"/>
        <v>221006</v>
      </c>
      <c r="B621" s="5" t="str">
        <f>"2022112119"</f>
        <v>2022112119</v>
      </c>
      <c r="C621" s="5" t="str">
        <f t="shared" si="37"/>
        <v>21</v>
      </c>
      <c r="D621" s="5" t="str">
        <f>"19"</f>
        <v>19</v>
      </c>
      <c r="E621" s="6">
        <v>0</v>
      </c>
      <c r="F621" s="6">
        <v>0</v>
      </c>
      <c r="G621" s="6">
        <v>0</v>
      </c>
      <c r="H621" s="6" t="s">
        <v>10</v>
      </c>
    </row>
    <row r="622" ht="20.1" customHeight="1" spans="1:8">
      <c r="A622" s="5" t="str">
        <f t="shared" si="36"/>
        <v>221006</v>
      </c>
      <c r="B622" s="5" t="str">
        <f>"2022112120"</f>
        <v>2022112120</v>
      </c>
      <c r="C622" s="5" t="str">
        <f t="shared" si="37"/>
        <v>21</v>
      </c>
      <c r="D622" s="5" t="str">
        <f>"20"</f>
        <v>20</v>
      </c>
      <c r="E622" s="6">
        <v>102</v>
      </c>
      <c r="F622" s="6">
        <v>111.6</v>
      </c>
      <c r="G622" s="6">
        <v>71.2</v>
      </c>
      <c r="H622" s="6" t="s">
        <v>9</v>
      </c>
    </row>
    <row r="623" ht="20.1" customHeight="1" spans="1:8">
      <c r="A623" s="5" t="str">
        <f t="shared" si="36"/>
        <v>221006</v>
      </c>
      <c r="B623" s="5" t="str">
        <f>"2022112121"</f>
        <v>2022112121</v>
      </c>
      <c r="C623" s="5" t="str">
        <f t="shared" si="37"/>
        <v>21</v>
      </c>
      <c r="D623" s="5" t="str">
        <f>"21"</f>
        <v>21</v>
      </c>
      <c r="E623" s="6">
        <v>0</v>
      </c>
      <c r="F623" s="6">
        <v>0</v>
      </c>
      <c r="G623" s="6">
        <v>0</v>
      </c>
      <c r="H623" s="6" t="s">
        <v>10</v>
      </c>
    </row>
    <row r="624" ht="20.1" customHeight="1" spans="1:8">
      <c r="A624" s="5" t="str">
        <f t="shared" si="36"/>
        <v>221006</v>
      </c>
      <c r="B624" s="5" t="str">
        <f>"2022112122"</f>
        <v>2022112122</v>
      </c>
      <c r="C624" s="5" t="str">
        <f t="shared" si="37"/>
        <v>21</v>
      </c>
      <c r="D624" s="5" t="str">
        <f>"22"</f>
        <v>22</v>
      </c>
      <c r="E624" s="6">
        <v>0</v>
      </c>
      <c r="F624" s="6">
        <v>0</v>
      </c>
      <c r="G624" s="6">
        <v>0</v>
      </c>
      <c r="H624" s="6" t="s">
        <v>10</v>
      </c>
    </row>
    <row r="625" ht="20.1" customHeight="1" spans="1:8">
      <c r="A625" s="5" t="str">
        <f t="shared" si="36"/>
        <v>221006</v>
      </c>
      <c r="B625" s="5" t="str">
        <f>"2022112123"</f>
        <v>2022112123</v>
      </c>
      <c r="C625" s="5" t="str">
        <f t="shared" si="37"/>
        <v>21</v>
      </c>
      <c r="D625" s="5" t="str">
        <f>"23"</f>
        <v>23</v>
      </c>
      <c r="E625" s="6">
        <v>0</v>
      </c>
      <c r="F625" s="6">
        <v>0</v>
      </c>
      <c r="G625" s="6">
        <v>0</v>
      </c>
      <c r="H625" s="6" t="s">
        <v>10</v>
      </c>
    </row>
    <row r="626" ht="20.1" customHeight="1" spans="1:8">
      <c r="A626" s="5" t="str">
        <f t="shared" si="36"/>
        <v>221006</v>
      </c>
      <c r="B626" s="5" t="str">
        <f>"2022112124"</f>
        <v>2022112124</v>
      </c>
      <c r="C626" s="5" t="str">
        <f t="shared" si="37"/>
        <v>21</v>
      </c>
      <c r="D626" s="5" t="str">
        <f>"24"</f>
        <v>24</v>
      </c>
      <c r="E626" s="6">
        <v>109.5</v>
      </c>
      <c r="F626" s="6">
        <v>99.6</v>
      </c>
      <c r="G626" s="6">
        <v>69.7</v>
      </c>
      <c r="H626" s="6" t="s">
        <v>9</v>
      </c>
    </row>
    <row r="627" ht="20.1" customHeight="1" spans="1:8">
      <c r="A627" s="5" t="str">
        <f t="shared" si="36"/>
        <v>221006</v>
      </c>
      <c r="B627" s="5" t="str">
        <f>"2022112125"</f>
        <v>2022112125</v>
      </c>
      <c r="C627" s="5" t="str">
        <f t="shared" si="37"/>
        <v>21</v>
      </c>
      <c r="D627" s="5" t="str">
        <f>"25"</f>
        <v>25</v>
      </c>
      <c r="E627" s="6">
        <v>0</v>
      </c>
      <c r="F627" s="6">
        <v>0</v>
      </c>
      <c r="G627" s="6">
        <v>0</v>
      </c>
      <c r="H627" s="6" t="s">
        <v>10</v>
      </c>
    </row>
    <row r="628" ht="20.1" customHeight="1" spans="1:8">
      <c r="A628" s="5" t="str">
        <f t="shared" si="36"/>
        <v>221006</v>
      </c>
      <c r="B628" s="5" t="str">
        <f>"2022112126"</f>
        <v>2022112126</v>
      </c>
      <c r="C628" s="5" t="str">
        <f t="shared" si="37"/>
        <v>21</v>
      </c>
      <c r="D628" s="5" t="str">
        <f>"26"</f>
        <v>26</v>
      </c>
      <c r="E628" s="6">
        <v>0</v>
      </c>
      <c r="F628" s="6">
        <v>0</v>
      </c>
      <c r="G628" s="6">
        <v>0</v>
      </c>
      <c r="H628" s="6" t="s">
        <v>10</v>
      </c>
    </row>
    <row r="629" ht="20.1" customHeight="1" spans="1:8">
      <c r="A629" s="5" t="str">
        <f t="shared" si="36"/>
        <v>221006</v>
      </c>
      <c r="B629" s="5" t="str">
        <f>"2022112127"</f>
        <v>2022112127</v>
      </c>
      <c r="C629" s="5" t="str">
        <f t="shared" si="37"/>
        <v>21</v>
      </c>
      <c r="D629" s="5" t="str">
        <f>"27"</f>
        <v>27</v>
      </c>
      <c r="E629" s="6">
        <v>120</v>
      </c>
      <c r="F629" s="6">
        <v>104.6</v>
      </c>
      <c r="G629" s="6">
        <v>74.8666666666667</v>
      </c>
      <c r="H629" s="6" t="s">
        <v>9</v>
      </c>
    </row>
    <row r="630" ht="20.1" customHeight="1" spans="1:8">
      <c r="A630" s="5" t="str">
        <f t="shared" si="36"/>
        <v>221006</v>
      </c>
      <c r="B630" s="5" t="str">
        <f>"2022112128"</f>
        <v>2022112128</v>
      </c>
      <c r="C630" s="5" t="str">
        <f t="shared" si="37"/>
        <v>21</v>
      </c>
      <c r="D630" s="5" t="str">
        <f>"28"</f>
        <v>28</v>
      </c>
      <c r="E630" s="6">
        <v>111</v>
      </c>
      <c r="F630" s="6">
        <v>110.2</v>
      </c>
      <c r="G630" s="6">
        <v>73.7333333333333</v>
      </c>
      <c r="H630" s="6" t="s">
        <v>9</v>
      </c>
    </row>
    <row r="631" ht="20.1" customHeight="1" spans="1:8">
      <c r="A631" s="5" t="str">
        <f t="shared" si="36"/>
        <v>221006</v>
      </c>
      <c r="B631" s="5" t="str">
        <f>"2022112129"</f>
        <v>2022112129</v>
      </c>
      <c r="C631" s="5" t="str">
        <f t="shared" si="37"/>
        <v>21</v>
      </c>
      <c r="D631" s="5" t="str">
        <f>"29"</f>
        <v>29</v>
      </c>
      <c r="E631" s="6">
        <v>42</v>
      </c>
      <c r="F631" s="6">
        <v>74.8</v>
      </c>
      <c r="G631" s="6">
        <v>38.9333333333333</v>
      </c>
      <c r="H631" s="6" t="s">
        <v>9</v>
      </c>
    </row>
    <row r="632" ht="20.1" customHeight="1" spans="1:8">
      <c r="A632" s="5" t="str">
        <f t="shared" si="36"/>
        <v>221006</v>
      </c>
      <c r="B632" s="5" t="str">
        <f>"2022112130"</f>
        <v>2022112130</v>
      </c>
      <c r="C632" s="5" t="str">
        <f t="shared" si="37"/>
        <v>21</v>
      </c>
      <c r="D632" s="5" t="str">
        <f>"30"</f>
        <v>30</v>
      </c>
      <c r="E632" s="6">
        <v>117</v>
      </c>
      <c r="F632" s="6">
        <v>109.4</v>
      </c>
      <c r="G632" s="6">
        <v>75.4666666666667</v>
      </c>
      <c r="H632" s="6" t="s">
        <v>9</v>
      </c>
    </row>
    <row r="633" ht="20.1" customHeight="1" spans="1:8">
      <c r="A633" s="5" t="str">
        <f t="shared" si="36"/>
        <v>221006</v>
      </c>
      <c r="B633" s="5" t="str">
        <f>"2022112201"</f>
        <v>2022112201</v>
      </c>
      <c r="C633" s="5" t="str">
        <f t="shared" ref="C633:C662" si="38">"22"</f>
        <v>22</v>
      </c>
      <c r="D633" s="5" t="str">
        <f>"01"</f>
        <v>01</v>
      </c>
      <c r="E633" s="6">
        <v>123</v>
      </c>
      <c r="F633" s="6">
        <v>98.7</v>
      </c>
      <c r="G633" s="6">
        <v>73.9</v>
      </c>
      <c r="H633" s="6" t="s">
        <v>9</v>
      </c>
    </row>
    <row r="634" ht="20.1" customHeight="1" spans="1:8">
      <c r="A634" s="5" t="str">
        <f t="shared" si="36"/>
        <v>221006</v>
      </c>
      <c r="B634" s="5" t="str">
        <f>"2022112202"</f>
        <v>2022112202</v>
      </c>
      <c r="C634" s="5" t="str">
        <f t="shared" si="38"/>
        <v>22</v>
      </c>
      <c r="D634" s="5" t="str">
        <f>"02"</f>
        <v>02</v>
      </c>
      <c r="E634" s="6">
        <v>0</v>
      </c>
      <c r="F634" s="6">
        <v>0</v>
      </c>
      <c r="G634" s="6">
        <v>0</v>
      </c>
      <c r="H634" s="6" t="s">
        <v>10</v>
      </c>
    </row>
    <row r="635" ht="20.1" customHeight="1" spans="1:8">
      <c r="A635" s="5" t="str">
        <f t="shared" si="36"/>
        <v>221006</v>
      </c>
      <c r="B635" s="5" t="str">
        <f>"2022112203"</f>
        <v>2022112203</v>
      </c>
      <c r="C635" s="5" t="str">
        <f t="shared" si="38"/>
        <v>22</v>
      </c>
      <c r="D635" s="5" t="str">
        <f>"03"</f>
        <v>03</v>
      </c>
      <c r="E635" s="6">
        <v>126</v>
      </c>
      <c r="F635" s="6">
        <v>106.6</v>
      </c>
      <c r="G635" s="6">
        <v>77.5333333333333</v>
      </c>
      <c r="H635" s="6" t="s">
        <v>9</v>
      </c>
    </row>
    <row r="636" ht="20.1" customHeight="1" spans="1:8">
      <c r="A636" s="5" t="str">
        <f t="shared" si="36"/>
        <v>221006</v>
      </c>
      <c r="B636" s="5" t="str">
        <f>"2022112204"</f>
        <v>2022112204</v>
      </c>
      <c r="C636" s="5" t="str">
        <f t="shared" si="38"/>
        <v>22</v>
      </c>
      <c r="D636" s="5" t="str">
        <f>"04"</f>
        <v>04</v>
      </c>
      <c r="E636" s="6">
        <v>123</v>
      </c>
      <c r="F636" s="6">
        <v>111.7</v>
      </c>
      <c r="G636" s="6">
        <v>78.2333333333333</v>
      </c>
      <c r="H636" s="6" t="s">
        <v>9</v>
      </c>
    </row>
    <row r="637" ht="20.1" customHeight="1" spans="1:8">
      <c r="A637" s="5" t="str">
        <f t="shared" si="36"/>
        <v>221006</v>
      </c>
      <c r="B637" s="5" t="str">
        <f>"2022112205"</f>
        <v>2022112205</v>
      </c>
      <c r="C637" s="5" t="str">
        <f t="shared" si="38"/>
        <v>22</v>
      </c>
      <c r="D637" s="5" t="str">
        <f>"05"</f>
        <v>05</v>
      </c>
      <c r="E637" s="6">
        <v>0</v>
      </c>
      <c r="F637" s="6">
        <v>0</v>
      </c>
      <c r="G637" s="6">
        <v>0</v>
      </c>
      <c r="H637" s="6" t="s">
        <v>10</v>
      </c>
    </row>
    <row r="638" ht="20.1" customHeight="1" spans="1:8">
      <c r="A638" s="5" t="str">
        <f t="shared" si="36"/>
        <v>221006</v>
      </c>
      <c r="B638" s="5" t="str">
        <f>"2022112206"</f>
        <v>2022112206</v>
      </c>
      <c r="C638" s="5" t="str">
        <f t="shared" si="38"/>
        <v>22</v>
      </c>
      <c r="D638" s="5" t="str">
        <f>"06"</f>
        <v>06</v>
      </c>
      <c r="E638" s="6">
        <v>94.5</v>
      </c>
      <c r="F638" s="6">
        <v>110.1</v>
      </c>
      <c r="G638" s="6">
        <v>68.2</v>
      </c>
      <c r="H638" s="6" t="s">
        <v>9</v>
      </c>
    </row>
    <row r="639" ht="20.1" customHeight="1" spans="1:8">
      <c r="A639" s="5" t="str">
        <f t="shared" si="36"/>
        <v>221006</v>
      </c>
      <c r="B639" s="5" t="str">
        <f>"2022112207"</f>
        <v>2022112207</v>
      </c>
      <c r="C639" s="5" t="str">
        <f t="shared" si="38"/>
        <v>22</v>
      </c>
      <c r="D639" s="5" t="str">
        <f>"07"</f>
        <v>07</v>
      </c>
      <c r="E639" s="6">
        <v>115.5</v>
      </c>
      <c r="F639" s="6">
        <v>111.9</v>
      </c>
      <c r="G639" s="6">
        <v>75.8</v>
      </c>
      <c r="H639" s="6" t="s">
        <v>9</v>
      </c>
    </row>
    <row r="640" ht="20.1" customHeight="1" spans="1:8">
      <c r="A640" s="5" t="str">
        <f t="shared" si="36"/>
        <v>221006</v>
      </c>
      <c r="B640" s="5" t="str">
        <f>"2022112208"</f>
        <v>2022112208</v>
      </c>
      <c r="C640" s="5" t="str">
        <f t="shared" si="38"/>
        <v>22</v>
      </c>
      <c r="D640" s="5" t="str">
        <f>"08"</f>
        <v>08</v>
      </c>
      <c r="E640" s="6">
        <v>105</v>
      </c>
      <c r="F640" s="6">
        <v>113.2</v>
      </c>
      <c r="G640" s="6">
        <v>72.7333333333333</v>
      </c>
      <c r="H640" s="6" t="s">
        <v>9</v>
      </c>
    </row>
    <row r="641" ht="20.1" customHeight="1" spans="1:8">
      <c r="A641" s="5" t="str">
        <f t="shared" si="36"/>
        <v>221006</v>
      </c>
      <c r="B641" s="5" t="str">
        <f>"2022112209"</f>
        <v>2022112209</v>
      </c>
      <c r="C641" s="5" t="str">
        <f t="shared" si="38"/>
        <v>22</v>
      </c>
      <c r="D641" s="5" t="str">
        <f>"09"</f>
        <v>09</v>
      </c>
      <c r="E641" s="6">
        <v>0</v>
      </c>
      <c r="F641" s="6">
        <v>0</v>
      </c>
      <c r="G641" s="6">
        <v>0</v>
      </c>
      <c r="H641" s="6" t="s">
        <v>10</v>
      </c>
    </row>
    <row r="642" ht="20.1" customHeight="1" spans="1:8">
      <c r="A642" s="5" t="str">
        <f t="shared" si="36"/>
        <v>221006</v>
      </c>
      <c r="B642" s="5" t="str">
        <f>"2022112210"</f>
        <v>2022112210</v>
      </c>
      <c r="C642" s="5" t="str">
        <f t="shared" si="38"/>
        <v>22</v>
      </c>
      <c r="D642" s="5" t="str">
        <f>"10"</f>
        <v>10</v>
      </c>
      <c r="E642" s="6">
        <v>108</v>
      </c>
      <c r="F642" s="6">
        <v>116.2</v>
      </c>
      <c r="G642" s="6">
        <v>74.7333333333333</v>
      </c>
      <c r="H642" s="6" t="s">
        <v>9</v>
      </c>
    </row>
    <row r="643" ht="20.1" customHeight="1" spans="1:8">
      <c r="A643" s="5" t="str">
        <f t="shared" si="36"/>
        <v>221006</v>
      </c>
      <c r="B643" s="5" t="str">
        <f>"2022112211"</f>
        <v>2022112211</v>
      </c>
      <c r="C643" s="5" t="str">
        <f t="shared" si="38"/>
        <v>22</v>
      </c>
      <c r="D643" s="5" t="str">
        <f>"11"</f>
        <v>11</v>
      </c>
      <c r="E643" s="6">
        <v>0</v>
      </c>
      <c r="F643" s="6">
        <v>0</v>
      </c>
      <c r="G643" s="6">
        <v>0</v>
      </c>
      <c r="H643" s="6" t="s">
        <v>10</v>
      </c>
    </row>
    <row r="644" ht="20.1" customHeight="1" spans="1:8">
      <c r="A644" s="5" t="str">
        <f t="shared" si="36"/>
        <v>221006</v>
      </c>
      <c r="B644" s="5" t="str">
        <f>"2022112212"</f>
        <v>2022112212</v>
      </c>
      <c r="C644" s="5" t="str">
        <f t="shared" si="38"/>
        <v>22</v>
      </c>
      <c r="D644" s="5" t="str">
        <f>"12"</f>
        <v>12</v>
      </c>
      <c r="E644" s="6">
        <v>124.5</v>
      </c>
      <c r="F644" s="6">
        <v>107</v>
      </c>
      <c r="G644" s="6">
        <v>77.1666666666667</v>
      </c>
      <c r="H644" s="6" t="s">
        <v>9</v>
      </c>
    </row>
    <row r="645" ht="20.1" customHeight="1" spans="1:8">
      <c r="A645" s="5" t="str">
        <f t="shared" si="36"/>
        <v>221006</v>
      </c>
      <c r="B645" s="5" t="str">
        <f>"2022112213"</f>
        <v>2022112213</v>
      </c>
      <c r="C645" s="5" t="str">
        <f t="shared" si="38"/>
        <v>22</v>
      </c>
      <c r="D645" s="5" t="str">
        <f>"13"</f>
        <v>13</v>
      </c>
      <c r="E645" s="6">
        <v>84</v>
      </c>
      <c r="F645" s="6">
        <v>101.3</v>
      </c>
      <c r="G645" s="6">
        <v>61.7666666666667</v>
      </c>
      <c r="H645" s="6" t="s">
        <v>9</v>
      </c>
    </row>
    <row r="646" ht="20.1" customHeight="1" spans="1:8">
      <c r="A646" s="5" t="str">
        <f t="shared" si="36"/>
        <v>221006</v>
      </c>
      <c r="B646" s="5" t="str">
        <f>"2022112214"</f>
        <v>2022112214</v>
      </c>
      <c r="C646" s="5" t="str">
        <f t="shared" si="38"/>
        <v>22</v>
      </c>
      <c r="D646" s="5" t="str">
        <f>"14"</f>
        <v>14</v>
      </c>
      <c r="E646" s="6">
        <v>126</v>
      </c>
      <c r="F646" s="6">
        <v>114.2</v>
      </c>
      <c r="G646" s="6">
        <v>80.0666666666667</v>
      </c>
      <c r="H646" s="6" t="s">
        <v>9</v>
      </c>
    </row>
    <row r="647" ht="20.1" customHeight="1" spans="1:8">
      <c r="A647" s="5" t="str">
        <f t="shared" si="36"/>
        <v>221006</v>
      </c>
      <c r="B647" s="5" t="str">
        <f>"2022112215"</f>
        <v>2022112215</v>
      </c>
      <c r="C647" s="5" t="str">
        <f t="shared" si="38"/>
        <v>22</v>
      </c>
      <c r="D647" s="5" t="str">
        <f>"15"</f>
        <v>15</v>
      </c>
      <c r="E647" s="6">
        <v>0</v>
      </c>
      <c r="F647" s="6">
        <v>0</v>
      </c>
      <c r="G647" s="6">
        <v>0</v>
      </c>
      <c r="H647" s="6" t="s">
        <v>10</v>
      </c>
    </row>
    <row r="648" ht="20.1" customHeight="1" spans="1:8">
      <c r="A648" s="5" t="str">
        <f t="shared" si="36"/>
        <v>221006</v>
      </c>
      <c r="B648" s="5" t="str">
        <f>"2022112216"</f>
        <v>2022112216</v>
      </c>
      <c r="C648" s="5" t="str">
        <f t="shared" si="38"/>
        <v>22</v>
      </c>
      <c r="D648" s="5" t="str">
        <f>"16"</f>
        <v>16</v>
      </c>
      <c r="E648" s="6">
        <v>88.5</v>
      </c>
      <c r="F648" s="6">
        <v>100.3</v>
      </c>
      <c r="G648" s="6">
        <v>62.9333333333333</v>
      </c>
      <c r="H648" s="6" t="s">
        <v>9</v>
      </c>
    </row>
    <row r="649" ht="20.1" customHeight="1" spans="1:8">
      <c r="A649" s="5" t="str">
        <f t="shared" si="36"/>
        <v>221006</v>
      </c>
      <c r="B649" s="5" t="str">
        <f>"2022112217"</f>
        <v>2022112217</v>
      </c>
      <c r="C649" s="5" t="str">
        <f t="shared" si="38"/>
        <v>22</v>
      </c>
      <c r="D649" s="5" t="str">
        <f>"17"</f>
        <v>17</v>
      </c>
      <c r="E649" s="6">
        <v>112.5</v>
      </c>
      <c r="F649" s="6">
        <v>113.2</v>
      </c>
      <c r="G649" s="6">
        <v>75.2333333333333</v>
      </c>
      <c r="H649" s="6" t="s">
        <v>9</v>
      </c>
    </row>
    <row r="650" ht="20.1" customHeight="1" spans="1:8">
      <c r="A650" s="5" t="str">
        <f t="shared" ref="A650:A661" si="39">"221006"</f>
        <v>221006</v>
      </c>
      <c r="B650" s="5" t="str">
        <f>"2022112218"</f>
        <v>2022112218</v>
      </c>
      <c r="C650" s="5" t="str">
        <f t="shared" si="38"/>
        <v>22</v>
      </c>
      <c r="D650" s="5" t="str">
        <f>"18"</f>
        <v>18</v>
      </c>
      <c r="E650" s="6">
        <v>0</v>
      </c>
      <c r="F650" s="6">
        <v>0</v>
      </c>
      <c r="G650" s="6">
        <v>0</v>
      </c>
      <c r="H650" s="6" t="s">
        <v>10</v>
      </c>
    </row>
    <row r="651" ht="20.1" customHeight="1" spans="1:8">
      <c r="A651" s="5" t="str">
        <f t="shared" si="39"/>
        <v>221006</v>
      </c>
      <c r="B651" s="5" t="str">
        <f>"2022112219"</f>
        <v>2022112219</v>
      </c>
      <c r="C651" s="5" t="str">
        <f t="shared" si="38"/>
        <v>22</v>
      </c>
      <c r="D651" s="5" t="str">
        <f>"19"</f>
        <v>19</v>
      </c>
      <c r="E651" s="6">
        <v>0</v>
      </c>
      <c r="F651" s="6">
        <v>0</v>
      </c>
      <c r="G651" s="6">
        <v>0</v>
      </c>
      <c r="H651" s="6" t="s">
        <v>10</v>
      </c>
    </row>
    <row r="652" ht="20.1" customHeight="1" spans="1:8">
      <c r="A652" s="5" t="str">
        <f t="shared" si="39"/>
        <v>221006</v>
      </c>
      <c r="B652" s="5" t="str">
        <f>"2022112220"</f>
        <v>2022112220</v>
      </c>
      <c r="C652" s="5" t="str">
        <f t="shared" si="38"/>
        <v>22</v>
      </c>
      <c r="D652" s="5" t="str">
        <f>"20"</f>
        <v>20</v>
      </c>
      <c r="E652" s="6">
        <v>0</v>
      </c>
      <c r="F652" s="6">
        <v>0</v>
      </c>
      <c r="G652" s="6">
        <v>0</v>
      </c>
      <c r="H652" s="6" t="s">
        <v>10</v>
      </c>
    </row>
    <row r="653" ht="20.1" customHeight="1" spans="1:8">
      <c r="A653" s="5" t="str">
        <f t="shared" si="39"/>
        <v>221006</v>
      </c>
      <c r="B653" s="5" t="str">
        <f>"2022112221"</f>
        <v>2022112221</v>
      </c>
      <c r="C653" s="5" t="str">
        <f t="shared" si="38"/>
        <v>22</v>
      </c>
      <c r="D653" s="5" t="str">
        <f>"21"</f>
        <v>21</v>
      </c>
      <c r="E653" s="6">
        <v>115.5</v>
      </c>
      <c r="F653" s="6">
        <v>104.2</v>
      </c>
      <c r="G653" s="6">
        <v>73.2333333333333</v>
      </c>
      <c r="H653" s="6" t="s">
        <v>9</v>
      </c>
    </row>
    <row r="654" ht="20.1" customHeight="1" spans="1:8">
      <c r="A654" s="5" t="str">
        <f t="shared" si="39"/>
        <v>221006</v>
      </c>
      <c r="B654" s="5" t="str">
        <f>"2022112222"</f>
        <v>2022112222</v>
      </c>
      <c r="C654" s="5" t="str">
        <f t="shared" si="38"/>
        <v>22</v>
      </c>
      <c r="D654" s="5" t="str">
        <f>"22"</f>
        <v>22</v>
      </c>
      <c r="E654" s="6">
        <v>0</v>
      </c>
      <c r="F654" s="6">
        <v>0</v>
      </c>
      <c r="G654" s="6">
        <v>0</v>
      </c>
      <c r="H654" s="6" t="s">
        <v>10</v>
      </c>
    </row>
    <row r="655" ht="20.1" customHeight="1" spans="1:8">
      <c r="A655" s="5" t="str">
        <f t="shared" si="39"/>
        <v>221006</v>
      </c>
      <c r="B655" s="5" t="str">
        <f>"2022112223"</f>
        <v>2022112223</v>
      </c>
      <c r="C655" s="5" t="str">
        <f t="shared" si="38"/>
        <v>22</v>
      </c>
      <c r="D655" s="5" t="str">
        <f>"23"</f>
        <v>23</v>
      </c>
      <c r="E655" s="6">
        <v>0</v>
      </c>
      <c r="F655" s="6">
        <v>0</v>
      </c>
      <c r="G655" s="6">
        <v>0</v>
      </c>
      <c r="H655" s="6" t="s">
        <v>10</v>
      </c>
    </row>
    <row r="656" ht="20.1" customHeight="1" spans="1:8">
      <c r="A656" s="5" t="str">
        <f t="shared" si="39"/>
        <v>221006</v>
      </c>
      <c r="B656" s="5" t="str">
        <f>"2022112224"</f>
        <v>2022112224</v>
      </c>
      <c r="C656" s="5" t="str">
        <f t="shared" si="38"/>
        <v>22</v>
      </c>
      <c r="D656" s="5" t="str">
        <f>"24"</f>
        <v>24</v>
      </c>
      <c r="E656" s="6">
        <v>0</v>
      </c>
      <c r="F656" s="6">
        <v>0</v>
      </c>
      <c r="G656" s="6">
        <v>0</v>
      </c>
      <c r="H656" s="6" t="s">
        <v>10</v>
      </c>
    </row>
    <row r="657" ht="20.1" customHeight="1" spans="1:8">
      <c r="A657" s="5" t="str">
        <f t="shared" si="39"/>
        <v>221006</v>
      </c>
      <c r="B657" s="5" t="str">
        <f>"2022112225"</f>
        <v>2022112225</v>
      </c>
      <c r="C657" s="5" t="str">
        <f t="shared" si="38"/>
        <v>22</v>
      </c>
      <c r="D657" s="5" t="str">
        <f>"25"</f>
        <v>25</v>
      </c>
      <c r="E657" s="6">
        <v>121.5</v>
      </c>
      <c r="F657" s="6">
        <v>112.5</v>
      </c>
      <c r="G657" s="6">
        <v>78</v>
      </c>
      <c r="H657" s="6" t="s">
        <v>9</v>
      </c>
    </row>
    <row r="658" ht="20.1" customHeight="1" spans="1:8">
      <c r="A658" s="5" t="str">
        <f t="shared" si="39"/>
        <v>221006</v>
      </c>
      <c r="B658" s="5" t="str">
        <f>"2022112226"</f>
        <v>2022112226</v>
      </c>
      <c r="C658" s="5" t="str">
        <f t="shared" si="38"/>
        <v>22</v>
      </c>
      <c r="D658" s="5" t="str">
        <f>"26"</f>
        <v>26</v>
      </c>
      <c r="E658" s="6">
        <v>0</v>
      </c>
      <c r="F658" s="6">
        <v>0</v>
      </c>
      <c r="G658" s="6">
        <v>0</v>
      </c>
      <c r="H658" s="6" t="s">
        <v>10</v>
      </c>
    </row>
    <row r="659" ht="20.1" customHeight="1" spans="1:8">
      <c r="A659" s="5" t="str">
        <f t="shared" si="39"/>
        <v>221006</v>
      </c>
      <c r="B659" s="5" t="str">
        <f>"2022112227"</f>
        <v>2022112227</v>
      </c>
      <c r="C659" s="5" t="str">
        <f t="shared" si="38"/>
        <v>22</v>
      </c>
      <c r="D659" s="5" t="str">
        <f>"27"</f>
        <v>27</v>
      </c>
      <c r="E659" s="6">
        <v>0</v>
      </c>
      <c r="F659" s="6">
        <v>0</v>
      </c>
      <c r="G659" s="6">
        <v>0</v>
      </c>
      <c r="H659" s="6" t="s">
        <v>10</v>
      </c>
    </row>
    <row r="660" ht="20.1" customHeight="1" spans="1:8">
      <c r="A660" s="5" t="str">
        <f t="shared" si="39"/>
        <v>221006</v>
      </c>
      <c r="B660" s="5" t="str">
        <f>"2022112228"</f>
        <v>2022112228</v>
      </c>
      <c r="C660" s="5" t="str">
        <f t="shared" si="38"/>
        <v>22</v>
      </c>
      <c r="D660" s="5" t="str">
        <f>"28"</f>
        <v>28</v>
      </c>
      <c r="E660" s="6">
        <v>115.5</v>
      </c>
      <c r="F660" s="6">
        <v>98.5</v>
      </c>
      <c r="G660" s="6">
        <v>71.3333333333333</v>
      </c>
      <c r="H660" s="6" t="s">
        <v>9</v>
      </c>
    </row>
    <row r="661" ht="20.1" customHeight="1" spans="1:8">
      <c r="A661" s="5" t="str">
        <f t="shared" si="39"/>
        <v>221006</v>
      </c>
      <c r="B661" s="5" t="str">
        <f>"2022112229"</f>
        <v>2022112229</v>
      </c>
      <c r="C661" s="5" t="str">
        <f t="shared" si="38"/>
        <v>22</v>
      </c>
      <c r="D661" s="5" t="str">
        <f>"29"</f>
        <v>29</v>
      </c>
      <c r="E661" s="6">
        <v>0</v>
      </c>
      <c r="F661" s="6">
        <v>0</v>
      </c>
      <c r="G661" s="6">
        <v>0</v>
      </c>
      <c r="H661" s="6" t="s">
        <v>10</v>
      </c>
    </row>
    <row r="662" ht="20.1" customHeight="1" spans="1:8">
      <c r="A662" s="5" t="str">
        <f t="shared" ref="A662:A693" si="40">"221007"</f>
        <v>221007</v>
      </c>
      <c r="B662" s="5" t="str">
        <f>"2022112230"</f>
        <v>2022112230</v>
      </c>
      <c r="C662" s="5" t="str">
        <f t="shared" si="38"/>
        <v>22</v>
      </c>
      <c r="D662" s="5" t="str">
        <f>"30"</f>
        <v>30</v>
      </c>
      <c r="E662" s="6">
        <v>103.5</v>
      </c>
      <c r="F662" s="6">
        <v>101</v>
      </c>
      <c r="G662" s="6">
        <v>68.1666666666667</v>
      </c>
      <c r="H662" s="6" t="s">
        <v>9</v>
      </c>
    </row>
    <row r="663" ht="20.1" customHeight="1" spans="1:8">
      <c r="A663" s="5" t="str">
        <f t="shared" si="40"/>
        <v>221007</v>
      </c>
      <c r="B663" s="5" t="str">
        <f>"2022112301"</f>
        <v>2022112301</v>
      </c>
      <c r="C663" s="5" t="str">
        <f t="shared" ref="C663:C692" si="41">"23"</f>
        <v>23</v>
      </c>
      <c r="D663" s="5" t="str">
        <f>"01"</f>
        <v>01</v>
      </c>
      <c r="E663" s="6">
        <v>0</v>
      </c>
      <c r="F663" s="6">
        <v>0</v>
      </c>
      <c r="G663" s="6">
        <v>0</v>
      </c>
      <c r="H663" s="6" t="s">
        <v>10</v>
      </c>
    </row>
    <row r="664" ht="20.1" customHeight="1" spans="1:8">
      <c r="A664" s="5" t="str">
        <f t="shared" si="40"/>
        <v>221007</v>
      </c>
      <c r="B664" s="5" t="str">
        <f>"2022112302"</f>
        <v>2022112302</v>
      </c>
      <c r="C664" s="5" t="str">
        <f t="shared" si="41"/>
        <v>23</v>
      </c>
      <c r="D664" s="5" t="str">
        <f>"02"</f>
        <v>02</v>
      </c>
      <c r="E664" s="6">
        <v>126</v>
      </c>
      <c r="F664" s="6">
        <v>113.9</v>
      </c>
      <c r="G664" s="6">
        <v>79.9666666666667</v>
      </c>
      <c r="H664" s="7" t="s">
        <v>11</v>
      </c>
    </row>
    <row r="665" ht="20.1" customHeight="1" spans="1:8">
      <c r="A665" s="5" t="str">
        <f t="shared" si="40"/>
        <v>221007</v>
      </c>
      <c r="B665" s="5" t="str">
        <f>"2022112303"</f>
        <v>2022112303</v>
      </c>
      <c r="C665" s="5" t="str">
        <f t="shared" si="41"/>
        <v>23</v>
      </c>
      <c r="D665" s="5" t="str">
        <f>"03"</f>
        <v>03</v>
      </c>
      <c r="E665" s="6">
        <v>93</v>
      </c>
      <c r="F665" s="6">
        <v>95.1</v>
      </c>
      <c r="G665" s="6">
        <v>62.7</v>
      </c>
      <c r="H665" s="6" t="s">
        <v>9</v>
      </c>
    </row>
    <row r="666" ht="20.1" customHeight="1" spans="1:8">
      <c r="A666" s="5" t="str">
        <f t="shared" si="40"/>
        <v>221007</v>
      </c>
      <c r="B666" s="5" t="str">
        <f>"2022112304"</f>
        <v>2022112304</v>
      </c>
      <c r="C666" s="5" t="str">
        <f t="shared" si="41"/>
        <v>23</v>
      </c>
      <c r="D666" s="5" t="str">
        <f>"04"</f>
        <v>04</v>
      </c>
      <c r="E666" s="6">
        <v>105</v>
      </c>
      <c r="F666" s="6">
        <v>107.9</v>
      </c>
      <c r="G666" s="6">
        <v>70.9666666666667</v>
      </c>
      <c r="H666" s="6" t="s">
        <v>9</v>
      </c>
    </row>
    <row r="667" ht="20.1" customHeight="1" spans="1:8">
      <c r="A667" s="5" t="str">
        <f t="shared" si="40"/>
        <v>221007</v>
      </c>
      <c r="B667" s="5" t="str">
        <f>"2022112305"</f>
        <v>2022112305</v>
      </c>
      <c r="C667" s="5" t="str">
        <f t="shared" si="41"/>
        <v>23</v>
      </c>
      <c r="D667" s="5" t="str">
        <f>"05"</f>
        <v>05</v>
      </c>
      <c r="E667" s="6">
        <v>117</v>
      </c>
      <c r="F667" s="6">
        <v>109</v>
      </c>
      <c r="G667" s="6">
        <v>75.3333333333333</v>
      </c>
      <c r="H667" s="6" t="s">
        <v>9</v>
      </c>
    </row>
    <row r="668" ht="20.1" customHeight="1" spans="1:8">
      <c r="A668" s="5" t="str">
        <f t="shared" si="40"/>
        <v>221007</v>
      </c>
      <c r="B668" s="5" t="str">
        <f>"2022112306"</f>
        <v>2022112306</v>
      </c>
      <c r="C668" s="5" t="str">
        <f t="shared" si="41"/>
        <v>23</v>
      </c>
      <c r="D668" s="5" t="str">
        <f>"06"</f>
        <v>06</v>
      </c>
      <c r="E668" s="6">
        <v>0</v>
      </c>
      <c r="F668" s="6">
        <v>0</v>
      </c>
      <c r="G668" s="6">
        <v>0</v>
      </c>
      <c r="H668" s="6" t="s">
        <v>10</v>
      </c>
    </row>
    <row r="669" ht="20.1" customHeight="1" spans="1:8">
      <c r="A669" s="5" t="str">
        <f t="shared" si="40"/>
        <v>221007</v>
      </c>
      <c r="B669" s="5" t="str">
        <f>"2022112307"</f>
        <v>2022112307</v>
      </c>
      <c r="C669" s="5" t="str">
        <f t="shared" si="41"/>
        <v>23</v>
      </c>
      <c r="D669" s="5" t="str">
        <f>"07"</f>
        <v>07</v>
      </c>
      <c r="E669" s="6">
        <v>118.5</v>
      </c>
      <c r="F669" s="6">
        <v>103.6</v>
      </c>
      <c r="G669" s="6">
        <v>74.0333333333333</v>
      </c>
      <c r="H669" s="6" t="s">
        <v>9</v>
      </c>
    </row>
    <row r="670" ht="20.1" customHeight="1" spans="1:8">
      <c r="A670" s="5" t="str">
        <f t="shared" si="40"/>
        <v>221007</v>
      </c>
      <c r="B670" s="5" t="str">
        <f>"2022112308"</f>
        <v>2022112308</v>
      </c>
      <c r="C670" s="5" t="str">
        <f t="shared" si="41"/>
        <v>23</v>
      </c>
      <c r="D670" s="5" t="str">
        <f>"08"</f>
        <v>08</v>
      </c>
      <c r="E670" s="6">
        <v>112.5</v>
      </c>
      <c r="F670" s="6">
        <v>107.6</v>
      </c>
      <c r="G670" s="6">
        <v>73.3666666666667</v>
      </c>
      <c r="H670" s="6" t="s">
        <v>9</v>
      </c>
    </row>
    <row r="671" ht="20.1" customHeight="1" spans="1:8">
      <c r="A671" s="5" t="str">
        <f t="shared" si="40"/>
        <v>221007</v>
      </c>
      <c r="B671" s="5" t="str">
        <f>"2022112309"</f>
        <v>2022112309</v>
      </c>
      <c r="C671" s="5" t="str">
        <f t="shared" si="41"/>
        <v>23</v>
      </c>
      <c r="D671" s="5" t="str">
        <f>"09"</f>
        <v>09</v>
      </c>
      <c r="E671" s="6">
        <v>0</v>
      </c>
      <c r="F671" s="6">
        <v>0</v>
      </c>
      <c r="G671" s="6">
        <v>0</v>
      </c>
      <c r="H671" s="6" t="s">
        <v>10</v>
      </c>
    </row>
    <row r="672" ht="20.1" customHeight="1" spans="1:8">
      <c r="A672" s="5" t="str">
        <f t="shared" si="40"/>
        <v>221007</v>
      </c>
      <c r="B672" s="5" t="str">
        <f>"2022112310"</f>
        <v>2022112310</v>
      </c>
      <c r="C672" s="5" t="str">
        <f t="shared" si="41"/>
        <v>23</v>
      </c>
      <c r="D672" s="5" t="str">
        <f>"10"</f>
        <v>10</v>
      </c>
      <c r="E672" s="6">
        <v>118.5</v>
      </c>
      <c r="F672" s="6">
        <v>109.3</v>
      </c>
      <c r="G672" s="6">
        <v>75.9333333333333</v>
      </c>
      <c r="H672" s="6" t="s">
        <v>9</v>
      </c>
    </row>
    <row r="673" ht="20.1" customHeight="1" spans="1:8">
      <c r="A673" s="5" t="str">
        <f t="shared" si="40"/>
        <v>221007</v>
      </c>
      <c r="B673" s="5" t="str">
        <f>"2022112311"</f>
        <v>2022112311</v>
      </c>
      <c r="C673" s="5" t="str">
        <f t="shared" si="41"/>
        <v>23</v>
      </c>
      <c r="D673" s="5" t="str">
        <f>"11"</f>
        <v>11</v>
      </c>
      <c r="E673" s="6">
        <v>111</v>
      </c>
      <c r="F673" s="6">
        <v>104.6</v>
      </c>
      <c r="G673" s="6">
        <v>71.8666666666667</v>
      </c>
      <c r="H673" s="6" t="s">
        <v>9</v>
      </c>
    </row>
    <row r="674" ht="20.1" customHeight="1" spans="1:8">
      <c r="A674" s="5" t="str">
        <f t="shared" si="40"/>
        <v>221007</v>
      </c>
      <c r="B674" s="5" t="str">
        <f>"2022112312"</f>
        <v>2022112312</v>
      </c>
      <c r="C674" s="5" t="str">
        <f t="shared" si="41"/>
        <v>23</v>
      </c>
      <c r="D674" s="5" t="str">
        <f>"12"</f>
        <v>12</v>
      </c>
      <c r="E674" s="6">
        <v>100.5</v>
      </c>
      <c r="F674" s="6">
        <v>111.1</v>
      </c>
      <c r="G674" s="6">
        <v>70.5333333333333</v>
      </c>
      <c r="H674" s="6" t="s">
        <v>9</v>
      </c>
    </row>
    <row r="675" ht="20.1" customHeight="1" spans="1:8">
      <c r="A675" s="5" t="str">
        <f t="shared" si="40"/>
        <v>221007</v>
      </c>
      <c r="B675" s="5" t="str">
        <f>"2022112313"</f>
        <v>2022112313</v>
      </c>
      <c r="C675" s="5" t="str">
        <f t="shared" si="41"/>
        <v>23</v>
      </c>
      <c r="D675" s="5" t="str">
        <f>"13"</f>
        <v>13</v>
      </c>
      <c r="E675" s="6">
        <v>90</v>
      </c>
      <c r="F675" s="6">
        <v>112.4</v>
      </c>
      <c r="G675" s="6">
        <v>67.4666666666667</v>
      </c>
      <c r="H675" s="6" t="s">
        <v>9</v>
      </c>
    </row>
    <row r="676" ht="20.1" customHeight="1" spans="1:8">
      <c r="A676" s="5" t="str">
        <f t="shared" si="40"/>
        <v>221007</v>
      </c>
      <c r="B676" s="5" t="str">
        <f>"2022112314"</f>
        <v>2022112314</v>
      </c>
      <c r="C676" s="5" t="str">
        <f t="shared" si="41"/>
        <v>23</v>
      </c>
      <c r="D676" s="5" t="str">
        <f>"14"</f>
        <v>14</v>
      </c>
      <c r="E676" s="6">
        <v>109.5</v>
      </c>
      <c r="F676" s="6">
        <v>116.4</v>
      </c>
      <c r="G676" s="6">
        <v>75.3</v>
      </c>
      <c r="H676" s="6" t="s">
        <v>9</v>
      </c>
    </row>
    <row r="677" ht="20.1" customHeight="1" spans="1:8">
      <c r="A677" s="5" t="str">
        <f t="shared" si="40"/>
        <v>221007</v>
      </c>
      <c r="B677" s="5" t="str">
        <f>"2022112315"</f>
        <v>2022112315</v>
      </c>
      <c r="C677" s="5" t="str">
        <f t="shared" si="41"/>
        <v>23</v>
      </c>
      <c r="D677" s="5" t="str">
        <f>"15"</f>
        <v>15</v>
      </c>
      <c r="E677" s="6">
        <v>106.5</v>
      </c>
      <c r="F677" s="6">
        <v>105.6</v>
      </c>
      <c r="G677" s="6">
        <v>70.7</v>
      </c>
      <c r="H677" s="6" t="s">
        <v>9</v>
      </c>
    </row>
    <row r="678" ht="20.1" customHeight="1" spans="1:8">
      <c r="A678" s="5" t="str">
        <f t="shared" si="40"/>
        <v>221007</v>
      </c>
      <c r="B678" s="5" t="str">
        <f>"2022112316"</f>
        <v>2022112316</v>
      </c>
      <c r="C678" s="5" t="str">
        <f t="shared" si="41"/>
        <v>23</v>
      </c>
      <c r="D678" s="5" t="str">
        <f>"16"</f>
        <v>16</v>
      </c>
      <c r="E678" s="6">
        <v>106.5</v>
      </c>
      <c r="F678" s="6">
        <v>114.9</v>
      </c>
      <c r="G678" s="6">
        <v>73.8</v>
      </c>
      <c r="H678" s="6" t="s">
        <v>9</v>
      </c>
    </row>
    <row r="679" ht="20.1" customHeight="1" spans="1:8">
      <c r="A679" s="5" t="str">
        <f t="shared" si="40"/>
        <v>221007</v>
      </c>
      <c r="B679" s="5" t="str">
        <f>"2022112317"</f>
        <v>2022112317</v>
      </c>
      <c r="C679" s="5" t="str">
        <f t="shared" si="41"/>
        <v>23</v>
      </c>
      <c r="D679" s="5" t="str">
        <f>"17"</f>
        <v>17</v>
      </c>
      <c r="E679" s="6">
        <v>105</v>
      </c>
      <c r="F679" s="6">
        <v>107.4</v>
      </c>
      <c r="G679" s="6">
        <v>70.8</v>
      </c>
      <c r="H679" s="6" t="s">
        <v>9</v>
      </c>
    </row>
    <row r="680" ht="20.1" customHeight="1" spans="1:8">
      <c r="A680" s="5" t="str">
        <f t="shared" si="40"/>
        <v>221007</v>
      </c>
      <c r="B680" s="5" t="str">
        <f>"2022112318"</f>
        <v>2022112318</v>
      </c>
      <c r="C680" s="5" t="str">
        <f t="shared" si="41"/>
        <v>23</v>
      </c>
      <c r="D680" s="5" t="str">
        <f>"18"</f>
        <v>18</v>
      </c>
      <c r="E680" s="6">
        <v>99</v>
      </c>
      <c r="F680" s="6">
        <v>96.7</v>
      </c>
      <c r="G680" s="6">
        <v>65.2333333333333</v>
      </c>
      <c r="H680" s="6" t="s">
        <v>9</v>
      </c>
    </row>
    <row r="681" ht="20.1" customHeight="1" spans="1:8">
      <c r="A681" s="5" t="str">
        <f t="shared" si="40"/>
        <v>221007</v>
      </c>
      <c r="B681" s="5" t="str">
        <f>"2022112319"</f>
        <v>2022112319</v>
      </c>
      <c r="C681" s="5" t="str">
        <f t="shared" si="41"/>
        <v>23</v>
      </c>
      <c r="D681" s="5" t="str">
        <f>"19"</f>
        <v>19</v>
      </c>
      <c r="E681" s="6">
        <v>106.5</v>
      </c>
      <c r="F681" s="6">
        <v>92</v>
      </c>
      <c r="G681" s="6">
        <v>66.1666666666667</v>
      </c>
      <c r="H681" s="6" t="s">
        <v>9</v>
      </c>
    </row>
    <row r="682" ht="20.1" customHeight="1" spans="1:8">
      <c r="A682" s="5" t="str">
        <f t="shared" si="40"/>
        <v>221007</v>
      </c>
      <c r="B682" s="5" t="str">
        <f>"2022112320"</f>
        <v>2022112320</v>
      </c>
      <c r="C682" s="5" t="str">
        <f t="shared" si="41"/>
        <v>23</v>
      </c>
      <c r="D682" s="5" t="str">
        <f>"20"</f>
        <v>20</v>
      </c>
      <c r="E682" s="6">
        <v>99</v>
      </c>
      <c r="F682" s="6">
        <v>116.6</v>
      </c>
      <c r="G682" s="6">
        <v>71.8666666666667</v>
      </c>
      <c r="H682" s="6" t="s">
        <v>9</v>
      </c>
    </row>
    <row r="683" ht="20.1" customHeight="1" spans="1:8">
      <c r="A683" s="5" t="str">
        <f t="shared" si="40"/>
        <v>221007</v>
      </c>
      <c r="B683" s="5" t="str">
        <f>"2022112321"</f>
        <v>2022112321</v>
      </c>
      <c r="C683" s="5" t="str">
        <f t="shared" si="41"/>
        <v>23</v>
      </c>
      <c r="D683" s="5" t="str">
        <f>"21"</f>
        <v>21</v>
      </c>
      <c r="E683" s="6">
        <v>88.5</v>
      </c>
      <c r="F683" s="6">
        <v>107.2</v>
      </c>
      <c r="G683" s="6">
        <v>65.2333333333333</v>
      </c>
      <c r="H683" s="6" t="s">
        <v>9</v>
      </c>
    </row>
    <row r="684" ht="20.1" customHeight="1" spans="1:8">
      <c r="A684" s="5" t="str">
        <f t="shared" si="40"/>
        <v>221007</v>
      </c>
      <c r="B684" s="5" t="str">
        <f>"2022112322"</f>
        <v>2022112322</v>
      </c>
      <c r="C684" s="5" t="str">
        <f t="shared" si="41"/>
        <v>23</v>
      </c>
      <c r="D684" s="5" t="str">
        <f>"22"</f>
        <v>22</v>
      </c>
      <c r="E684" s="6">
        <v>112.5</v>
      </c>
      <c r="F684" s="6">
        <v>114.3</v>
      </c>
      <c r="G684" s="6">
        <v>75.6</v>
      </c>
      <c r="H684" s="6" t="s">
        <v>9</v>
      </c>
    </row>
    <row r="685" ht="20.1" customHeight="1" spans="1:8">
      <c r="A685" s="5" t="str">
        <f t="shared" si="40"/>
        <v>221007</v>
      </c>
      <c r="B685" s="5" t="str">
        <f>"2022112323"</f>
        <v>2022112323</v>
      </c>
      <c r="C685" s="5" t="str">
        <f t="shared" si="41"/>
        <v>23</v>
      </c>
      <c r="D685" s="5" t="str">
        <f>"23"</f>
        <v>23</v>
      </c>
      <c r="E685" s="6">
        <v>121.5</v>
      </c>
      <c r="F685" s="6">
        <v>94.1</v>
      </c>
      <c r="G685" s="6">
        <v>71.8666666666667</v>
      </c>
      <c r="H685" s="6" t="s">
        <v>9</v>
      </c>
    </row>
    <row r="686" ht="20.1" customHeight="1" spans="1:8">
      <c r="A686" s="5" t="str">
        <f t="shared" si="40"/>
        <v>221007</v>
      </c>
      <c r="B686" s="5" t="str">
        <f>"2022112324"</f>
        <v>2022112324</v>
      </c>
      <c r="C686" s="5" t="str">
        <f t="shared" si="41"/>
        <v>23</v>
      </c>
      <c r="D686" s="5" t="str">
        <f>"24"</f>
        <v>24</v>
      </c>
      <c r="E686" s="6">
        <v>94.5</v>
      </c>
      <c r="F686" s="6">
        <v>108.6</v>
      </c>
      <c r="G686" s="6">
        <v>67.7</v>
      </c>
      <c r="H686" s="6" t="s">
        <v>9</v>
      </c>
    </row>
    <row r="687" ht="20.1" customHeight="1" spans="1:8">
      <c r="A687" s="5" t="str">
        <f t="shared" si="40"/>
        <v>221007</v>
      </c>
      <c r="B687" s="5" t="str">
        <f>"2022112325"</f>
        <v>2022112325</v>
      </c>
      <c r="C687" s="5" t="str">
        <f t="shared" si="41"/>
        <v>23</v>
      </c>
      <c r="D687" s="5" t="str">
        <f>"25"</f>
        <v>25</v>
      </c>
      <c r="E687" s="6">
        <v>0</v>
      </c>
      <c r="F687" s="6">
        <v>0</v>
      </c>
      <c r="G687" s="6">
        <v>0</v>
      </c>
      <c r="H687" s="6" t="s">
        <v>10</v>
      </c>
    </row>
    <row r="688" ht="20.1" customHeight="1" spans="1:8">
      <c r="A688" s="5" t="str">
        <f t="shared" si="40"/>
        <v>221007</v>
      </c>
      <c r="B688" s="5" t="str">
        <f>"2022112326"</f>
        <v>2022112326</v>
      </c>
      <c r="C688" s="5" t="str">
        <f t="shared" si="41"/>
        <v>23</v>
      </c>
      <c r="D688" s="5" t="str">
        <f>"26"</f>
        <v>26</v>
      </c>
      <c r="E688" s="6">
        <v>0</v>
      </c>
      <c r="F688" s="6">
        <v>0</v>
      </c>
      <c r="G688" s="6">
        <v>0</v>
      </c>
      <c r="H688" s="6" t="s">
        <v>10</v>
      </c>
    </row>
    <row r="689" ht="20.1" customHeight="1" spans="1:8">
      <c r="A689" s="5" t="str">
        <f t="shared" si="40"/>
        <v>221007</v>
      </c>
      <c r="B689" s="5" t="str">
        <f>"2022112327"</f>
        <v>2022112327</v>
      </c>
      <c r="C689" s="5" t="str">
        <f t="shared" si="41"/>
        <v>23</v>
      </c>
      <c r="D689" s="5" t="str">
        <f>"27"</f>
        <v>27</v>
      </c>
      <c r="E689" s="6">
        <v>115.5</v>
      </c>
      <c r="F689" s="6">
        <v>105.5</v>
      </c>
      <c r="G689" s="6">
        <v>73.6666666666667</v>
      </c>
      <c r="H689" s="6" t="s">
        <v>9</v>
      </c>
    </row>
    <row r="690" ht="20.1" customHeight="1" spans="1:8">
      <c r="A690" s="5" t="str">
        <f t="shared" si="40"/>
        <v>221007</v>
      </c>
      <c r="B690" s="5" t="str">
        <f>"2022112328"</f>
        <v>2022112328</v>
      </c>
      <c r="C690" s="5" t="str">
        <f t="shared" si="41"/>
        <v>23</v>
      </c>
      <c r="D690" s="5" t="str">
        <f>"28"</f>
        <v>28</v>
      </c>
      <c r="E690" s="6">
        <v>117</v>
      </c>
      <c r="F690" s="6">
        <v>94.2</v>
      </c>
      <c r="G690" s="6">
        <v>70.4</v>
      </c>
      <c r="H690" s="6" t="s">
        <v>9</v>
      </c>
    </row>
    <row r="691" ht="20.1" customHeight="1" spans="1:8">
      <c r="A691" s="5" t="str">
        <f t="shared" si="40"/>
        <v>221007</v>
      </c>
      <c r="B691" s="5" t="str">
        <f>"2022112329"</f>
        <v>2022112329</v>
      </c>
      <c r="C691" s="5" t="str">
        <f t="shared" si="41"/>
        <v>23</v>
      </c>
      <c r="D691" s="5" t="str">
        <f>"29"</f>
        <v>29</v>
      </c>
      <c r="E691" s="6">
        <v>112.5</v>
      </c>
      <c r="F691" s="6">
        <v>115.8</v>
      </c>
      <c r="G691" s="6">
        <v>76.1</v>
      </c>
      <c r="H691" s="6" t="s">
        <v>9</v>
      </c>
    </row>
    <row r="692" ht="20.1" customHeight="1" spans="1:8">
      <c r="A692" s="5" t="str">
        <f t="shared" si="40"/>
        <v>221007</v>
      </c>
      <c r="B692" s="5" t="str">
        <f>"2022112330"</f>
        <v>2022112330</v>
      </c>
      <c r="C692" s="5" t="str">
        <f t="shared" si="41"/>
        <v>23</v>
      </c>
      <c r="D692" s="5" t="str">
        <f>"30"</f>
        <v>30</v>
      </c>
      <c r="E692" s="6">
        <v>0</v>
      </c>
      <c r="F692" s="6">
        <v>0</v>
      </c>
      <c r="G692" s="6">
        <v>0</v>
      </c>
      <c r="H692" s="6" t="s">
        <v>10</v>
      </c>
    </row>
    <row r="693" ht="20.1" customHeight="1" spans="1:8">
      <c r="A693" s="5" t="str">
        <f t="shared" si="40"/>
        <v>221007</v>
      </c>
      <c r="B693" s="5" t="str">
        <f>"2022112401"</f>
        <v>2022112401</v>
      </c>
      <c r="C693" s="5" t="str">
        <f t="shared" ref="C693:C722" si="42">"24"</f>
        <v>24</v>
      </c>
      <c r="D693" s="5" t="str">
        <f>"01"</f>
        <v>01</v>
      </c>
      <c r="E693" s="6">
        <v>96</v>
      </c>
      <c r="F693" s="6">
        <v>95</v>
      </c>
      <c r="G693" s="6">
        <v>63.6666666666667</v>
      </c>
      <c r="H693" s="6" t="s">
        <v>9</v>
      </c>
    </row>
    <row r="694" ht="20.1" customHeight="1" spans="1:8">
      <c r="A694" s="5" t="str">
        <f t="shared" ref="A694:A725" si="43">"221007"</f>
        <v>221007</v>
      </c>
      <c r="B694" s="5" t="str">
        <f>"2022112402"</f>
        <v>2022112402</v>
      </c>
      <c r="C694" s="5" t="str">
        <f t="shared" si="42"/>
        <v>24</v>
      </c>
      <c r="D694" s="5" t="str">
        <f>"02"</f>
        <v>02</v>
      </c>
      <c r="E694" s="6">
        <v>124.5</v>
      </c>
      <c r="F694" s="6">
        <v>102</v>
      </c>
      <c r="G694" s="6">
        <v>75.5</v>
      </c>
      <c r="H694" s="6" t="s">
        <v>9</v>
      </c>
    </row>
    <row r="695" ht="20.1" customHeight="1" spans="1:8">
      <c r="A695" s="5" t="str">
        <f t="shared" si="43"/>
        <v>221007</v>
      </c>
      <c r="B695" s="5" t="str">
        <f>"2022112403"</f>
        <v>2022112403</v>
      </c>
      <c r="C695" s="5" t="str">
        <f t="shared" si="42"/>
        <v>24</v>
      </c>
      <c r="D695" s="5" t="str">
        <f>"03"</f>
        <v>03</v>
      </c>
      <c r="E695" s="6">
        <v>102</v>
      </c>
      <c r="F695" s="6">
        <v>113.9</v>
      </c>
      <c r="G695" s="6">
        <v>71.9666666666667</v>
      </c>
      <c r="H695" s="6" t="s">
        <v>9</v>
      </c>
    </row>
    <row r="696" ht="20.1" customHeight="1" spans="1:8">
      <c r="A696" s="5" t="str">
        <f t="shared" si="43"/>
        <v>221007</v>
      </c>
      <c r="B696" s="5" t="str">
        <f>"2022112404"</f>
        <v>2022112404</v>
      </c>
      <c r="C696" s="5" t="str">
        <f t="shared" si="42"/>
        <v>24</v>
      </c>
      <c r="D696" s="5" t="str">
        <f>"04"</f>
        <v>04</v>
      </c>
      <c r="E696" s="6">
        <v>0</v>
      </c>
      <c r="F696" s="6">
        <v>0</v>
      </c>
      <c r="G696" s="6">
        <v>0</v>
      </c>
      <c r="H696" s="6" t="s">
        <v>10</v>
      </c>
    </row>
    <row r="697" ht="20.1" customHeight="1" spans="1:8">
      <c r="A697" s="5" t="str">
        <f t="shared" si="43"/>
        <v>221007</v>
      </c>
      <c r="B697" s="5" t="str">
        <f>"2022112405"</f>
        <v>2022112405</v>
      </c>
      <c r="C697" s="5" t="str">
        <f t="shared" si="42"/>
        <v>24</v>
      </c>
      <c r="D697" s="5" t="str">
        <f>"05"</f>
        <v>05</v>
      </c>
      <c r="E697" s="6">
        <v>115.5</v>
      </c>
      <c r="F697" s="6">
        <v>112.4</v>
      </c>
      <c r="G697" s="6">
        <v>75.9666666666667</v>
      </c>
      <c r="H697" s="6" t="s">
        <v>9</v>
      </c>
    </row>
    <row r="698" ht="20.1" customHeight="1" spans="1:8">
      <c r="A698" s="5" t="str">
        <f t="shared" si="43"/>
        <v>221007</v>
      </c>
      <c r="B698" s="5" t="str">
        <f>"2022112406"</f>
        <v>2022112406</v>
      </c>
      <c r="C698" s="5" t="str">
        <f t="shared" si="42"/>
        <v>24</v>
      </c>
      <c r="D698" s="5" t="str">
        <f>"06"</f>
        <v>06</v>
      </c>
      <c r="E698" s="6">
        <v>106.5</v>
      </c>
      <c r="F698" s="6">
        <v>117.3</v>
      </c>
      <c r="G698" s="6">
        <v>74.6</v>
      </c>
      <c r="H698" s="6" t="s">
        <v>9</v>
      </c>
    </row>
    <row r="699" ht="20.1" customHeight="1" spans="1:8">
      <c r="A699" s="5" t="str">
        <f t="shared" si="43"/>
        <v>221007</v>
      </c>
      <c r="B699" s="5" t="str">
        <f>"2022112407"</f>
        <v>2022112407</v>
      </c>
      <c r="C699" s="5" t="str">
        <f t="shared" si="42"/>
        <v>24</v>
      </c>
      <c r="D699" s="5" t="str">
        <f>"07"</f>
        <v>07</v>
      </c>
      <c r="E699" s="6">
        <v>105</v>
      </c>
      <c r="F699" s="6">
        <v>110.4</v>
      </c>
      <c r="G699" s="6">
        <v>71.8</v>
      </c>
      <c r="H699" s="6" t="s">
        <v>9</v>
      </c>
    </row>
    <row r="700" ht="20.1" customHeight="1" spans="1:8">
      <c r="A700" s="5" t="str">
        <f t="shared" si="43"/>
        <v>221007</v>
      </c>
      <c r="B700" s="5" t="str">
        <f>"2022112408"</f>
        <v>2022112408</v>
      </c>
      <c r="C700" s="5" t="str">
        <f t="shared" si="42"/>
        <v>24</v>
      </c>
      <c r="D700" s="5" t="str">
        <f>"08"</f>
        <v>08</v>
      </c>
      <c r="E700" s="6">
        <v>0</v>
      </c>
      <c r="F700" s="6">
        <v>0</v>
      </c>
      <c r="G700" s="6">
        <v>0</v>
      </c>
      <c r="H700" s="6" t="s">
        <v>10</v>
      </c>
    </row>
    <row r="701" ht="20.1" customHeight="1" spans="1:8">
      <c r="A701" s="5" t="str">
        <f t="shared" si="43"/>
        <v>221007</v>
      </c>
      <c r="B701" s="5" t="str">
        <f>"2022112409"</f>
        <v>2022112409</v>
      </c>
      <c r="C701" s="5" t="str">
        <f t="shared" si="42"/>
        <v>24</v>
      </c>
      <c r="D701" s="5" t="str">
        <f>"09"</f>
        <v>09</v>
      </c>
      <c r="E701" s="6">
        <v>96</v>
      </c>
      <c r="F701" s="6">
        <v>104</v>
      </c>
      <c r="G701" s="6">
        <v>66.6666666666667</v>
      </c>
      <c r="H701" s="6" t="s">
        <v>9</v>
      </c>
    </row>
    <row r="702" ht="20.1" customHeight="1" spans="1:8">
      <c r="A702" s="5" t="str">
        <f t="shared" si="43"/>
        <v>221007</v>
      </c>
      <c r="B702" s="5" t="str">
        <f>"2022112410"</f>
        <v>2022112410</v>
      </c>
      <c r="C702" s="5" t="str">
        <f t="shared" si="42"/>
        <v>24</v>
      </c>
      <c r="D702" s="5" t="str">
        <f>"10"</f>
        <v>10</v>
      </c>
      <c r="E702" s="6">
        <v>105</v>
      </c>
      <c r="F702" s="6">
        <v>113.1</v>
      </c>
      <c r="G702" s="6">
        <v>72.7</v>
      </c>
      <c r="H702" s="6" t="s">
        <v>9</v>
      </c>
    </row>
    <row r="703" ht="20.1" customHeight="1" spans="1:8">
      <c r="A703" s="5" t="str">
        <f t="shared" si="43"/>
        <v>221007</v>
      </c>
      <c r="B703" s="5" t="str">
        <f>"2022112411"</f>
        <v>2022112411</v>
      </c>
      <c r="C703" s="5" t="str">
        <f t="shared" si="42"/>
        <v>24</v>
      </c>
      <c r="D703" s="5" t="str">
        <f>"11"</f>
        <v>11</v>
      </c>
      <c r="E703" s="6">
        <v>0</v>
      </c>
      <c r="F703" s="6">
        <v>0</v>
      </c>
      <c r="G703" s="6">
        <v>0</v>
      </c>
      <c r="H703" s="6" t="s">
        <v>10</v>
      </c>
    </row>
    <row r="704" ht="20.1" customHeight="1" spans="1:8">
      <c r="A704" s="5" t="str">
        <f t="shared" si="43"/>
        <v>221007</v>
      </c>
      <c r="B704" s="5" t="str">
        <f>"2022112412"</f>
        <v>2022112412</v>
      </c>
      <c r="C704" s="5" t="str">
        <f t="shared" si="42"/>
        <v>24</v>
      </c>
      <c r="D704" s="5" t="str">
        <f>"12"</f>
        <v>12</v>
      </c>
      <c r="E704" s="6">
        <v>99</v>
      </c>
      <c r="F704" s="6">
        <v>113.7</v>
      </c>
      <c r="G704" s="6">
        <v>70.9</v>
      </c>
      <c r="H704" s="6" t="s">
        <v>9</v>
      </c>
    </row>
    <row r="705" ht="20.1" customHeight="1" spans="1:8">
      <c r="A705" s="5" t="str">
        <f t="shared" si="43"/>
        <v>221007</v>
      </c>
      <c r="B705" s="5" t="str">
        <f>"2022112413"</f>
        <v>2022112413</v>
      </c>
      <c r="C705" s="5" t="str">
        <f t="shared" si="42"/>
        <v>24</v>
      </c>
      <c r="D705" s="5" t="str">
        <f>"13"</f>
        <v>13</v>
      </c>
      <c r="E705" s="6">
        <v>0</v>
      </c>
      <c r="F705" s="6">
        <v>0</v>
      </c>
      <c r="G705" s="6">
        <v>0</v>
      </c>
      <c r="H705" s="6" t="s">
        <v>10</v>
      </c>
    </row>
    <row r="706" ht="20.1" customHeight="1" spans="1:8">
      <c r="A706" s="5" t="str">
        <f t="shared" si="43"/>
        <v>221007</v>
      </c>
      <c r="B706" s="5" t="str">
        <f>"2022112414"</f>
        <v>2022112414</v>
      </c>
      <c r="C706" s="5" t="str">
        <f t="shared" si="42"/>
        <v>24</v>
      </c>
      <c r="D706" s="5" t="str">
        <f>"14"</f>
        <v>14</v>
      </c>
      <c r="E706" s="6">
        <v>109.5</v>
      </c>
      <c r="F706" s="6">
        <v>114.6</v>
      </c>
      <c r="G706" s="6">
        <v>74.7</v>
      </c>
      <c r="H706" s="6" t="s">
        <v>9</v>
      </c>
    </row>
    <row r="707" ht="20.1" customHeight="1" spans="1:8">
      <c r="A707" s="5" t="str">
        <f t="shared" si="43"/>
        <v>221007</v>
      </c>
      <c r="B707" s="5" t="str">
        <f>"2022112415"</f>
        <v>2022112415</v>
      </c>
      <c r="C707" s="5" t="str">
        <f t="shared" si="42"/>
        <v>24</v>
      </c>
      <c r="D707" s="5" t="str">
        <f>"15"</f>
        <v>15</v>
      </c>
      <c r="E707" s="6">
        <v>0</v>
      </c>
      <c r="F707" s="6">
        <v>0</v>
      </c>
      <c r="G707" s="6">
        <v>0</v>
      </c>
      <c r="H707" s="6" t="s">
        <v>10</v>
      </c>
    </row>
    <row r="708" ht="20.1" customHeight="1" spans="1:8">
      <c r="A708" s="5" t="str">
        <f t="shared" si="43"/>
        <v>221007</v>
      </c>
      <c r="B708" s="5" t="str">
        <f>"2022112416"</f>
        <v>2022112416</v>
      </c>
      <c r="C708" s="5" t="str">
        <f t="shared" si="42"/>
        <v>24</v>
      </c>
      <c r="D708" s="5" t="str">
        <f>"16"</f>
        <v>16</v>
      </c>
      <c r="E708" s="6">
        <v>0</v>
      </c>
      <c r="F708" s="6">
        <v>0</v>
      </c>
      <c r="G708" s="6">
        <v>0</v>
      </c>
      <c r="H708" s="6" t="s">
        <v>10</v>
      </c>
    </row>
    <row r="709" ht="20.1" customHeight="1" spans="1:8">
      <c r="A709" s="5" t="str">
        <f t="shared" si="43"/>
        <v>221007</v>
      </c>
      <c r="B709" s="5" t="str">
        <f>"2022112417"</f>
        <v>2022112417</v>
      </c>
      <c r="C709" s="5" t="str">
        <f t="shared" si="42"/>
        <v>24</v>
      </c>
      <c r="D709" s="5" t="str">
        <f>"17"</f>
        <v>17</v>
      </c>
      <c r="E709" s="6">
        <v>0</v>
      </c>
      <c r="F709" s="6">
        <v>0</v>
      </c>
      <c r="G709" s="6">
        <v>0</v>
      </c>
      <c r="H709" s="6" t="s">
        <v>10</v>
      </c>
    </row>
    <row r="710" ht="20.1" customHeight="1" spans="1:8">
      <c r="A710" s="5" t="str">
        <f t="shared" si="43"/>
        <v>221007</v>
      </c>
      <c r="B710" s="5" t="str">
        <f>"2022112418"</f>
        <v>2022112418</v>
      </c>
      <c r="C710" s="5" t="str">
        <f t="shared" si="42"/>
        <v>24</v>
      </c>
      <c r="D710" s="5" t="str">
        <f>"18"</f>
        <v>18</v>
      </c>
      <c r="E710" s="6">
        <v>132</v>
      </c>
      <c r="F710" s="6">
        <v>102</v>
      </c>
      <c r="G710" s="6">
        <v>78</v>
      </c>
      <c r="H710" s="6" t="s">
        <v>9</v>
      </c>
    </row>
    <row r="711" ht="20.1" customHeight="1" spans="1:8">
      <c r="A711" s="5" t="str">
        <f t="shared" si="43"/>
        <v>221007</v>
      </c>
      <c r="B711" s="5" t="str">
        <f>"2022112419"</f>
        <v>2022112419</v>
      </c>
      <c r="C711" s="5" t="str">
        <f t="shared" si="42"/>
        <v>24</v>
      </c>
      <c r="D711" s="5" t="str">
        <f>"19"</f>
        <v>19</v>
      </c>
      <c r="E711" s="6">
        <v>0</v>
      </c>
      <c r="F711" s="6">
        <v>0</v>
      </c>
      <c r="G711" s="6">
        <v>0</v>
      </c>
      <c r="H711" s="6" t="s">
        <v>10</v>
      </c>
    </row>
    <row r="712" ht="20.1" customHeight="1" spans="1:8">
      <c r="A712" s="5" t="str">
        <f t="shared" si="43"/>
        <v>221007</v>
      </c>
      <c r="B712" s="5" t="str">
        <f>"2022112420"</f>
        <v>2022112420</v>
      </c>
      <c r="C712" s="5" t="str">
        <f t="shared" si="42"/>
        <v>24</v>
      </c>
      <c r="D712" s="5" t="str">
        <f>"20"</f>
        <v>20</v>
      </c>
      <c r="E712" s="6">
        <v>82.5</v>
      </c>
      <c r="F712" s="6">
        <v>108</v>
      </c>
      <c r="G712" s="6">
        <v>63.5</v>
      </c>
      <c r="H712" s="6" t="s">
        <v>9</v>
      </c>
    </row>
    <row r="713" ht="20.1" customHeight="1" spans="1:8">
      <c r="A713" s="5" t="str">
        <f t="shared" si="43"/>
        <v>221007</v>
      </c>
      <c r="B713" s="5" t="str">
        <f>"2022112421"</f>
        <v>2022112421</v>
      </c>
      <c r="C713" s="5" t="str">
        <f t="shared" si="42"/>
        <v>24</v>
      </c>
      <c r="D713" s="5" t="str">
        <f>"21"</f>
        <v>21</v>
      </c>
      <c r="E713" s="6">
        <v>112.5</v>
      </c>
      <c r="F713" s="6">
        <v>112.1</v>
      </c>
      <c r="G713" s="6">
        <v>74.8666666666667</v>
      </c>
      <c r="H713" s="6" t="s">
        <v>9</v>
      </c>
    </row>
    <row r="714" ht="20.1" customHeight="1" spans="1:8">
      <c r="A714" s="5" t="str">
        <f t="shared" si="43"/>
        <v>221007</v>
      </c>
      <c r="B714" s="5" t="str">
        <f>"2022112422"</f>
        <v>2022112422</v>
      </c>
      <c r="C714" s="5" t="str">
        <f t="shared" si="42"/>
        <v>24</v>
      </c>
      <c r="D714" s="5" t="str">
        <f>"22"</f>
        <v>22</v>
      </c>
      <c r="E714" s="6">
        <v>106.5</v>
      </c>
      <c r="F714" s="6">
        <v>107.8</v>
      </c>
      <c r="G714" s="6">
        <v>71.4333333333333</v>
      </c>
      <c r="H714" s="6" t="s">
        <v>9</v>
      </c>
    </row>
    <row r="715" ht="20.1" customHeight="1" spans="1:8">
      <c r="A715" s="5" t="str">
        <f t="shared" si="43"/>
        <v>221007</v>
      </c>
      <c r="B715" s="5" t="str">
        <f>"2022112423"</f>
        <v>2022112423</v>
      </c>
      <c r="C715" s="5" t="str">
        <f t="shared" si="42"/>
        <v>24</v>
      </c>
      <c r="D715" s="5" t="str">
        <f>"23"</f>
        <v>23</v>
      </c>
      <c r="E715" s="6">
        <v>0</v>
      </c>
      <c r="F715" s="6">
        <v>0</v>
      </c>
      <c r="G715" s="6">
        <v>0</v>
      </c>
      <c r="H715" s="6" t="s">
        <v>10</v>
      </c>
    </row>
    <row r="716" ht="20.1" customHeight="1" spans="1:8">
      <c r="A716" s="5" t="str">
        <f t="shared" si="43"/>
        <v>221007</v>
      </c>
      <c r="B716" s="5" t="str">
        <f>"2022112424"</f>
        <v>2022112424</v>
      </c>
      <c r="C716" s="5" t="str">
        <f t="shared" si="42"/>
        <v>24</v>
      </c>
      <c r="D716" s="5" t="str">
        <f>"24"</f>
        <v>24</v>
      </c>
      <c r="E716" s="6">
        <v>0</v>
      </c>
      <c r="F716" s="6">
        <v>0</v>
      </c>
      <c r="G716" s="6">
        <v>0</v>
      </c>
      <c r="H716" s="6" t="s">
        <v>10</v>
      </c>
    </row>
    <row r="717" ht="20.1" customHeight="1" spans="1:8">
      <c r="A717" s="5" t="str">
        <f t="shared" si="43"/>
        <v>221007</v>
      </c>
      <c r="B717" s="5" t="str">
        <f>"2022112425"</f>
        <v>2022112425</v>
      </c>
      <c r="C717" s="5" t="str">
        <f t="shared" si="42"/>
        <v>24</v>
      </c>
      <c r="D717" s="5" t="str">
        <f>"25"</f>
        <v>25</v>
      </c>
      <c r="E717" s="6">
        <v>0</v>
      </c>
      <c r="F717" s="6">
        <v>0</v>
      </c>
      <c r="G717" s="6">
        <v>0</v>
      </c>
      <c r="H717" s="6" t="s">
        <v>10</v>
      </c>
    </row>
    <row r="718" ht="20.1" customHeight="1" spans="1:8">
      <c r="A718" s="5" t="str">
        <f t="shared" si="43"/>
        <v>221007</v>
      </c>
      <c r="B718" s="5" t="str">
        <f>"2022112426"</f>
        <v>2022112426</v>
      </c>
      <c r="C718" s="5" t="str">
        <f t="shared" si="42"/>
        <v>24</v>
      </c>
      <c r="D718" s="5" t="str">
        <f>"26"</f>
        <v>26</v>
      </c>
      <c r="E718" s="6">
        <v>0</v>
      </c>
      <c r="F718" s="6">
        <v>0</v>
      </c>
      <c r="G718" s="6">
        <v>0</v>
      </c>
      <c r="H718" s="6" t="s">
        <v>10</v>
      </c>
    </row>
    <row r="719" ht="20.1" customHeight="1" spans="1:8">
      <c r="A719" s="5" t="str">
        <f t="shared" si="43"/>
        <v>221007</v>
      </c>
      <c r="B719" s="5" t="str">
        <f>"2022112427"</f>
        <v>2022112427</v>
      </c>
      <c r="C719" s="5" t="str">
        <f t="shared" si="42"/>
        <v>24</v>
      </c>
      <c r="D719" s="5" t="str">
        <f>"27"</f>
        <v>27</v>
      </c>
      <c r="E719" s="6">
        <v>105</v>
      </c>
      <c r="F719" s="6">
        <v>108.7</v>
      </c>
      <c r="G719" s="6">
        <v>71.2333333333333</v>
      </c>
      <c r="H719" s="6" t="s">
        <v>9</v>
      </c>
    </row>
    <row r="720" ht="20.1" customHeight="1" spans="1:8">
      <c r="A720" s="5" t="str">
        <f t="shared" si="43"/>
        <v>221007</v>
      </c>
      <c r="B720" s="5" t="str">
        <f>"2022112428"</f>
        <v>2022112428</v>
      </c>
      <c r="C720" s="5" t="str">
        <f t="shared" si="42"/>
        <v>24</v>
      </c>
      <c r="D720" s="5" t="str">
        <f>"28"</f>
        <v>28</v>
      </c>
      <c r="E720" s="6">
        <v>79.5</v>
      </c>
      <c r="F720" s="6">
        <v>90.7</v>
      </c>
      <c r="G720" s="6">
        <v>56.7333333333333</v>
      </c>
      <c r="H720" s="6" t="s">
        <v>9</v>
      </c>
    </row>
    <row r="721" ht="20.1" customHeight="1" spans="1:8">
      <c r="A721" s="5" t="str">
        <f t="shared" si="43"/>
        <v>221007</v>
      </c>
      <c r="B721" s="5" t="str">
        <f>"2022112429"</f>
        <v>2022112429</v>
      </c>
      <c r="C721" s="5" t="str">
        <f t="shared" si="42"/>
        <v>24</v>
      </c>
      <c r="D721" s="5" t="str">
        <f>"29"</f>
        <v>29</v>
      </c>
      <c r="E721" s="6">
        <v>114</v>
      </c>
      <c r="F721" s="6">
        <v>116.1</v>
      </c>
      <c r="G721" s="6">
        <v>76.7</v>
      </c>
      <c r="H721" s="6" t="s">
        <v>9</v>
      </c>
    </row>
    <row r="722" ht="20.1" customHeight="1" spans="1:8">
      <c r="A722" s="5" t="str">
        <f t="shared" si="43"/>
        <v>221007</v>
      </c>
      <c r="B722" s="5" t="str">
        <f>"2022112430"</f>
        <v>2022112430</v>
      </c>
      <c r="C722" s="5" t="str">
        <f t="shared" si="42"/>
        <v>24</v>
      </c>
      <c r="D722" s="5" t="str">
        <f>"30"</f>
        <v>30</v>
      </c>
      <c r="E722" s="6">
        <v>0</v>
      </c>
      <c r="F722" s="6">
        <v>0</v>
      </c>
      <c r="G722" s="6">
        <v>0</v>
      </c>
      <c r="H722" s="6" t="s">
        <v>10</v>
      </c>
    </row>
    <row r="723" ht="20.1" customHeight="1" spans="1:8">
      <c r="A723" s="5" t="str">
        <f t="shared" si="43"/>
        <v>221007</v>
      </c>
      <c r="B723" s="5" t="str">
        <f>"2022112501"</f>
        <v>2022112501</v>
      </c>
      <c r="C723" s="5" t="str">
        <f t="shared" ref="C723:C752" si="44">"25"</f>
        <v>25</v>
      </c>
      <c r="D723" s="5" t="str">
        <f>"01"</f>
        <v>01</v>
      </c>
      <c r="E723" s="6">
        <v>81</v>
      </c>
      <c r="F723" s="6">
        <v>72.4</v>
      </c>
      <c r="G723" s="6">
        <v>51.1333333333333</v>
      </c>
      <c r="H723" s="6" t="s">
        <v>9</v>
      </c>
    </row>
    <row r="724" ht="20.1" customHeight="1" spans="1:8">
      <c r="A724" s="5" t="str">
        <f t="shared" si="43"/>
        <v>221007</v>
      </c>
      <c r="B724" s="5" t="str">
        <f>"2022112502"</f>
        <v>2022112502</v>
      </c>
      <c r="C724" s="5" t="str">
        <f t="shared" si="44"/>
        <v>25</v>
      </c>
      <c r="D724" s="5" t="str">
        <f>"02"</f>
        <v>02</v>
      </c>
      <c r="E724" s="6">
        <v>106.5</v>
      </c>
      <c r="F724" s="6">
        <v>72.8</v>
      </c>
      <c r="G724" s="6">
        <v>59.7666666666667</v>
      </c>
      <c r="H724" s="6" t="s">
        <v>9</v>
      </c>
    </row>
    <row r="725" ht="20.1" customHeight="1" spans="1:8">
      <c r="A725" s="5" t="str">
        <f t="shared" si="43"/>
        <v>221007</v>
      </c>
      <c r="B725" s="5" t="str">
        <f>"2022112503"</f>
        <v>2022112503</v>
      </c>
      <c r="C725" s="5" t="str">
        <f t="shared" si="44"/>
        <v>25</v>
      </c>
      <c r="D725" s="5" t="str">
        <f>"03"</f>
        <v>03</v>
      </c>
      <c r="E725" s="6">
        <v>0</v>
      </c>
      <c r="F725" s="6">
        <v>0</v>
      </c>
      <c r="G725" s="6">
        <v>0</v>
      </c>
      <c r="H725" s="6" t="s">
        <v>10</v>
      </c>
    </row>
    <row r="726" ht="20.1" customHeight="1" spans="1:8">
      <c r="A726" s="5" t="str">
        <f t="shared" ref="A726:A757" si="45">"221007"</f>
        <v>221007</v>
      </c>
      <c r="B726" s="5" t="str">
        <f>"2022112504"</f>
        <v>2022112504</v>
      </c>
      <c r="C726" s="5" t="str">
        <f t="shared" si="44"/>
        <v>25</v>
      </c>
      <c r="D726" s="5" t="str">
        <f>"04"</f>
        <v>04</v>
      </c>
      <c r="E726" s="6">
        <v>0</v>
      </c>
      <c r="F726" s="6">
        <v>0</v>
      </c>
      <c r="G726" s="6">
        <v>0</v>
      </c>
      <c r="H726" s="6" t="s">
        <v>10</v>
      </c>
    </row>
    <row r="727" ht="20.1" customHeight="1" spans="1:8">
      <c r="A727" s="5" t="str">
        <f t="shared" si="45"/>
        <v>221007</v>
      </c>
      <c r="B727" s="5" t="str">
        <f>"2022112505"</f>
        <v>2022112505</v>
      </c>
      <c r="C727" s="5" t="str">
        <f t="shared" si="44"/>
        <v>25</v>
      </c>
      <c r="D727" s="5" t="str">
        <f>"05"</f>
        <v>05</v>
      </c>
      <c r="E727" s="6">
        <v>97.5</v>
      </c>
      <c r="F727" s="6">
        <v>73.2</v>
      </c>
      <c r="G727" s="6">
        <v>56.9</v>
      </c>
      <c r="H727" s="6" t="s">
        <v>9</v>
      </c>
    </row>
    <row r="728" ht="20.1" customHeight="1" spans="1:8">
      <c r="A728" s="5" t="str">
        <f t="shared" si="45"/>
        <v>221007</v>
      </c>
      <c r="B728" s="5" t="str">
        <f>"2022112506"</f>
        <v>2022112506</v>
      </c>
      <c r="C728" s="5" t="str">
        <f t="shared" si="44"/>
        <v>25</v>
      </c>
      <c r="D728" s="5" t="str">
        <f>"06"</f>
        <v>06</v>
      </c>
      <c r="E728" s="6">
        <v>79.5</v>
      </c>
      <c r="F728" s="6">
        <v>73.8</v>
      </c>
      <c r="G728" s="6">
        <v>51.1</v>
      </c>
      <c r="H728" s="6" t="s">
        <v>9</v>
      </c>
    </row>
    <row r="729" ht="20.1" customHeight="1" spans="1:8">
      <c r="A729" s="5" t="str">
        <f t="shared" si="45"/>
        <v>221007</v>
      </c>
      <c r="B729" s="5" t="str">
        <f>"2022112507"</f>
        <v>2022112507</v>
      </c>
      <c r="C729" s="5" t="str">
        <f t="shared" si="44"/>
        <v>25</v>
      </c>
      <c r="D729" s="5" t="str">
        <f>"07"</f>
        <v>07</v>
      </c>
      <c r="E729" s="6">
        <v>0</v>
      </c>
      <c r="F729" s="6">
        <v>0</v>
      </c>
      <c r="G729" s="6">
        <v>0</v>
      </c>
      <c r="H729" s="6" t="s">
        <v>10</v>
      </c>
    </row>
    <row r="730" ht="20.1" customHeight="1" spans="1:8">
      <c r="A730" s="5" t="str">
        <f t="shared" si="45"/>
        <v>221007</v>
      </c>
      <c r="B730" s="5" t="str">
        <f>"2022112508"</f>
        <v>2022112508</v>
      </c>
      <c r="C730" s="5" t="str">
        <f t="shared" si="44"/>
        <v>25</v>
      </c>
      <c r="D730" s="5" t="str">
        <f>"08"</f>
        <v>08</v>
      </c>
      <c r="E730" s="6">
        <v>124.5</v>
      </c>
      <c r="F730" s="6">
        <v>114</v>
      </c>
      <c r="G730" s="6">
        <v>79.5</v>
      </c>
      <c r="H730" s="6" t="s">
        <v>9</v>
      </c>
    </row>
    <row r="731" ht="20.1" customHeight="1" spans="1:8">
      <c r="A731" s="5" t="str">
        <f t="shared" si="45"/>
        <v>221007</v>
      </c>
      <c r="B731" s="5" t="str">
        <f>"2022112509"</f>
        <v>2022112509</v>
      </c>
      <c r="C731" s="5" t="str">
        <f t="shared" si="44"/>
        <v>25</v>
      </c>
      <c r="D731" s="5" t="str">
        <f>"09"</f>
        <v>09</v>
      </c>
      <c r="E731" s="6">
        <v>112.5</v>
      </c>
      <c r="F731" s="6">
        <v>100.3</v>
      </c>
      <c r="G731" s="6">
        <v>70.9333333333333</v>
      </c>
      <c r="H731" s="6" t="s">
        <v>9</v>
      </c>
    </row>
    <row r="732" ht="20.1" customHeight="1" spans="1:8">
      <c r="A732" s="5" t="str">
        <f t="shared" si="45"/>
        <v>221007</v>
      </c>
      <c r="B732" s="5" t="str">
        <f>"2022112510"</f>
        <v>2022112510</v>
      </c>
      <c r="C732" s="5" t="str">
        <f t="shared" si="44"/>
        <v>25</v>
      </c>
      <c r="D732" s="5" t="str">
        <f>"10"</f>
        <v>10</v>
      </c>
      <c r="E732" s="6">
        <v>0</v>
      </c>
      <c r="F732" s="6">
        <v>0</v>
      </c>
      <c r="G732" s="6">
        <v>0</v>
      </c>
      <c r="H732" s="6" t="s">
        <v>10</v>
      </c>
    </row>
    <row r="733" ht="20.1" customHeight="1" spans="1:8">
      <c r="A733" s="5" t="str">
        <f t="shared" si="45"/>
        <v>221007</v>
      </c>
      <c r="B733" s="5" t="str">
        <f>"2022112511"</f>
        <v>2022112511</v>
      </c>
      <c r="C733" s="5" t="str">
        <f t="shared" si="44"/>
        <v>25</v>
      </c>
      <c r="D733" s="5" t="str">
        <f>"11"</f>
        <v>11</v>
      </c>
      <c r="E733" s="6">
        <v>115.5</v>
      </c>
      <c r="F733" s="6">
        <v>97.8</v>
      </c>
      <c r="G733" s="6">
        <v>71.1</v>
      </c>
      <c r="H733" s="6" t="s">
        <v>9</v>
      </c>
    </row>
    <row r="734" ht="20.1" customHeight="1" spans="1:8">
      <c r="A734" s="5" t="str">
        <f t="shared" si="45"/>
        <v>221007</v>
      </c>
      <c r="B734" s="5" t="str">
        <f>"2022112512"</f>
        <v>2022112512</v>
      </c>
      <c r="C734" s="5" t="str">
        <f t="shared" si="44"/>
        <v>25</v>
      </c>
      <c r="D734" s="5" t="str">
        <f>"12"</f>
        <v>12</v>
      </c>
      <c r="E734" s="6">
        <v>106.5</v>
      </c>
      <c r="F734" s="6">
        <v>113.4</v>
      </c>
      <c r="G734" s="6">
        <v>73.3</v>
      </c>
      <c r="H734" s="6" t="s">
        <v>9</v>
      </c>
    </row>
    <row r="735" ht="20.1" customHeight="1" spans="1:8">
      <c r="A735" s="5" t="str">
        <f t="shared" si="45"/>
        <v>221007</v>
      </c>
      <c r="B735" s="5" t="str">
        <f>"2022112513"</f>
        <v>2022112513</v>
      </c>
      <c r="C735" s="5" t="str">
        <f t="shared" si="44"/>
        <v>25</v>
      </c>
      <c r="D735" s="5" t="str">
        <f>"13"</f>
        <v>13</v>
      </c>
      <c r="E735" s="6">
        <v>96</v>
      </c>
      <c r="F735" s="6">
        <v>114.1</v>
      </c>
      <c r="G735" s="6">
        <v>70.0333333333333</v>
      </c>
      <c r="H735" s="6" t="s">
        <v>9</v>
      </c>
    </row>
    <row r="736" ht="20.1" customHeight="1" spans="1:8">
      <c r="A736" s="5" t="str">
        <f t="shared" si="45"/>
        <v>221007</v>
      </c>
      <c r="B736" s="5" t="str">
        <f>"2022112514"</f>
        <v>2022112514</v>
      </c>
      <c r="C736" s="5" t="str">
        <f t="shared" si="44"/>
        <v>25</v>
      </c>
      <c r="D736" s="5" t="str">
        <f>"14"</f>
        <v>14</v>
      </c>
      <c r="E736" s="6">
        <v>0</v>
      </c>
      <c r="F736" s="6">
        <v>0</v>
      </c>
      <c r="G736" s="6">
        <v>0</v>
      </c>
      <c r="H736" s="6" t="s">
        <v>10</v>
      </c>
    </row>
    <row r="737" ht="20.1" customHeight="1" spans="1:8">
      <c r="A737" s="5" t="str">
        <f t="shared" si="45"/>
        <v>221007</v>
      </c>
      <c r="B737" s="5" t="str">
        <f>"2022112515"</f>
        <v>2022112515</v>
      </c>
      <c r="C737" s="5" t="str">
        <f t="shared" si="44"/>
        <v>25</v>
      </c>
      <c r="D737" s="5" t="str">
        <f>"15"</f>
        <v>15</v>
      </c>
      <c r="E737" s="6">
        <v>133.5</v>
      </c>
      <c r="F737" s="6">
        <v>105.3</v>
      </c>
      <c r="G737" s="6">
        <v>79.6</v>
      </c>
      <c r="H737" s="7" t="s">
        <v>11</v>
      </c>
    </row>
    <row r="738" ht="20.1" customHeight="1" spans="1:8">
      <c r="A738" s="5" t="str">
        <f t="shared" si="45"/>
        <v>221007</v>
      </c>
      <c r="B738" s="5" t="str">
        <f>"2022112516"</f>
        <v>2022112516</v>
      </c>
      <c r="C738" s="5" t="str">
        <f t="shared" si="44"/>
        <v>25</v>
      </c>
      <c r="D738" s="5" t="str">
        <f>"16"</f>
        <v>16</v>
      </c>
      <c r="E738" s="6">
        <v>0</v>
      </c>
      <c r="F738" s="6">
        <v>0</v>
      </c>
      <c r="G738" s="6">
        <v>0</v>
      </c>
      <c r="H738" s="6" t="s">
        <v>10</v>
      </c>
    </row>
    <row r="739" ht="20.1" customHeight="1" spans="1:8">
      <c r="A739" s="5" t="str">
        <f t="shared" si="45"/>
        <v>221007</v>
      </c>
      <c r="B739" s="5" t="str">
        <f>"2022112517"</f>
        <v>2022112517</v>
      </c>
      <c r="C739" s="5" t="str">
        <f t="shared" si="44"/>
        <v>25</v>
      </c>
      <c r="D739" s="5" t="str">
        <f>"17"</f>
        <v>17</v>
      </c>
      <c r="E739" s="6">
        <v>0</v>
      </c>
      <c r="F739" s="6">
        <v>0</v>
      </c>
      <c r="G739" s="6">
        <v>0</v>
      </c>
      <c r="H739" s="6" t="s">
        <v>10</v>
      </c>
    </row>
    <row r="740" ht="20.1" customHeight="1" spans="1:8">
      <c r="A740" s="5" t="str">
        <f t="shared" si="45"/>
        <v>221007</v>
      </c>
      <c r="B740" s="5" t="str">
        <f>"2022112518"</f>
        <v>2022112518</v>
      </c>
      <c r="C740" s="5" t="str">
        <f t="shared" si="44"/>
        <v>25</v>
      </c>
      <c r="D740" s="5" t="str">
        <f>"18"</f>
        <v>18</v>
      </c>
      <c r="E740" s="6">
        <v>115.5</v>
      </c>
      <c r="F740" s="6">
        <v>109.5</v>
      </c>
      <c r="G740" s="6">
        <v>75</v>
      </c>
      <c r="H740" s="6" t="s">
        <v>9</v>
      </c>
    </row>
    <row r="741" ht="20.1" customHeight="1" spans="1:8">
      <c r="A741" s="5" t="str">
        <f t="shared" si="45"/>
        <v>221007</v>
      </c>
      <c r="B741" s="5" t="str">
        <f>"2022112519"</f>
        <v>2022112519</v>
      </c>
      <c r="C741" s="5" t="str">
        <f t="shared" si="44"/>
        <v>25</v>
      </c>
      <c r="D741" s="5" t="str">
        <f>"19"</f>
        <v>19</v>
      </c>
      <c r="E741" s="6">
        <v>0</v>
      </c>
      <c r="F741" s="6">
        <v>0</v>
      </c>
      <c r="G741" s="6">
        <v>0</v>
      </c>
      <c r="H741" s="6" t="s">
        <v>10</v>
      </c>
    </row>
    <row r="742" ht="20.1" customHeight="1" spans="1:8">
      <c r="A742" s="5" t="str">
        <f t="shared" si="45"/>
        <v>221007</v>
      </c>
      <c r="B742" s="5" t="str">
        <f>"2022112520"</f>
        <v>2022112520</v>
      </c>
      <c r="C742" s="5" t="str">
        <f t="shared" si="44"/>
        <v>25</v>
      </c>
      <c r="D742" s="5" t="str">
        <f>"20"</f>
        <v>20</v>
      </c>
      <c r="E742" s="6">
        <v>120</v>
      </c>
      <c r="F742" s="6">
        <v>114.5</v>
      </c>
      <c r="G742" s="6">
        <v>78.1666666666667</v>
      </c>
      <c r="H742" s="6" t="s">
        <v>9</v>
      </c>
    </row>
    <row r="743" ht="20.1" customHeight="1" spans="1:8">
      <c r="A743" s="5" t="str">
        <f t="shared" si="45"/>
        <v>221007</v>
      </c>
      <c r="B743" s="5" t="str">
        <f>"2022112521"</f>
        <v>2022112521</v>
      </c>
      <c r="C743" s="5" t="str">
        <f t="shared" si="44"/>
        <v>25</v>
      </c>
      <c r="D743" s="5" t="str">
        <f>"21"</f>
        <v>21</v>
      </c>
      <c r="E743" s="6">
        <v>102</v>
      </c>
      <c r="F743" s="6">
        <v>88.3</v>
      </c>
      <c r="G743" s="6">
        <v>63.4333333333333</v>
      </c>
      <c r="H743" s="6" t="s">
        <v>9</v>
      </c>
    </row>
    <row r="744" ht="20.1" customHeight="1" spans="1:8">
      <c r="A744" s="5" t="str">
        <f t="shared" si="45"/>
        <v>221007</v>
      </c>
      <c r="B744" s="5" t="str">
        <f>"2022112522"</f>
        <v>2022112522</v>
      </c>
      <c r="C744" s="5" t="str">
        <f t="shared" si="44"/>
        <v>25</v>
      </c>
      <c r="D744" s="5" t="str">
        <f>"22"</f>
        <v>22</v>
      </c>
      <c r="E744" s="6">
        <v>114</v>
      </c>
      <c r="F744" s="6">
        <v>106.7</v>
      </c>
      <c r="G744" s="6">
        <v>73.5666666666667</v>
      </c>
      <c r="H744" s="6" t="s">
        <v>9</v>
      </c>
    </row>
    <row r="745" ht="20.1" customHeight="1" spans="1:8">
      <c r="A745" s="5" t="str">
        <f t="shared" si="45"/>
        <v>221007</v>
      </c>
      <c r="B745" s="5" t="str">
        <f>"2022112523"</f>
        <v>2022112523</v>
      </c>
      <c r="C745" s="5" t="str">
        <f t="shared" si="44"/>
        <v>25</v>
      </c>
      <c r="D745" s="5" t="str">
        <f>"23"</f>
        <v>23</v>
      </c>
      <c r="E745" s="6">
        <v>118.5</v>
      </c>
      <c r="F745" s="6">
        <v>110.7</v>
      </c>
      <c r="G745" s="6">
        <v>76.4</v>
      </c>
      <c r="H745" s="6" t="s">
        <v>9</v>
      </c>
    </row>
    <row r="746" ht="20.1" customHeight="1" spans="1:8">
      <c r="A746" s="5" t="str">
        <f t="shared" si="45"/>
        <v>221007</v>
      </c>
      <c r="B746" s="5" t="str">
        <f>"2022112524"</f>
        <v>2022112524</v>
      </c>
      <c r="C746" s="5" t="str">
        <f t="shared" si="44"/>
        <v>25</v>
      </c>
      <c r="D746" s="5" t="str">
        <f>"24"</f>
        <v>24</v>
      </c>
      <c r="E746" s="6">
        <v>0</v>
      </c>
      <c r="F746" s="6">
        <v>0</v>
      </c>
      <c r="G746" s="6">
        <v>0</v>
      </c>
      <c r="H746" s="6" t="s">
        <v>10</v>
      </c>
    </row>
    <row r="747" ht="20.1" customHeight="1" spans="1:8">
      <c r="A747" s="5" t="str">
        <f t="shared" si="45"/>
        <v>221007</v>
      </c>
      <c r="B747" s="5" t="str">
        <f>"2022112525"</f>
        <v>2022112525</v>
      </c>
      <c r="C747" s="5" t="str">
        <f t="shared" si="44"/>
        <v>25</v>
      </c>
      <c r="D747" s="5" t="str">
        <f>"25"</f>
        <v>25</v>
      </c>
      <c r="E747" s="6">
        <v>117</v>
      </c>
      <c r="F747" s="6">
        <v>106.6</v>
      </c>
      <c r="G747" s="6">
        <v>74.5333333333333</v>
      </c>
      <c r="H747" s="6" t="s">
        <v>9</v>
      </c>
    </row>
    <row r="748" ht="20.1" customHeight="1" spans="1:8">
      <c r="A748" s="5" t="str">
        <f t="shared" si="45"/>
        <v>221007</v>
      </c>
      <c r="B748" s="5" t="str">
        <f>"2022112526"</f>
        <v>2022112526</v>
      </c>
      <c r="C748" s="5" t="str">
        <f t="shared" si="44"/>
        <v>25</v>
      </c>
      <c r="D748" s="5" t="str">
        <f>"26"</f>
        <v>26</v>
      </c>
      <c r="E748" s="6">
        <v>96</v>
      </c>
      <c r="F748" s="6">
        <v>109.2</v>
      </c>
      <c r="G748" s="6">
        <v>68.4</v>
      </c>
      <c r="H748" s="6" t="s">
        <v>9</v>
      </c>
    </row>
    <row r="749" ht="20.1" customHeight="1" spans="1:8">
      <c r="A749" s="5" t="str">
        <f t="shared" si="45"/>
        <v>221007</v>
      </c>
      <c r="B749" s="5" t="str">
        <f>"2022112527"</f>
        <v>2022112527</v>
      </c>
      <c r="C749" s="5" t="str">
        <f t="shared" si="44"/>
        <v>25</v>
      </c>
      <c r="D749" s="5" t="str">
        <f>"27"</f>
        <v>27</v>
      </c>
      <c r="E749" s="6">
        <v>0</v>
      </c>
      <c r="F749" s="6">
        <v>0</v>
      </c>
      <c r="G749" s="6">
        <v>0</v>
      </c>
      <c r="H749" s="6" t="s">
        <v>10</v>
      </c>
    </row>
    <row r="750" ht="20.1" customHeight="1" spans="1:8">
      <c r="A750" s="5" t="str">
        <f t="shared" si="45"/>
        <v>221007</v>
      </c>
      <c r="B750" s="5" t="str">
        <f>"2022112528"</f>
        <v>2022112528</v>
      </c>
      <c r="C750" s="5" t="str">
        <f t="shared" si="44"/>
        <v>25</v>
      </c>
      <c r="D750" s="5" t="str">
        <f>"28"</f>
        <v>28</v>
      </c>
      <c r="E750" s="6">
        <v>103.5</v>
      </c>
      <c r="F750" s="6">
        <v>113.2</v>
      </c>
      <c r="G750" s="6">
        <v>72.2333333333333</v>
      </c>
      <c r="H750" s="6" t="s">
        <v>9</v>
      </c>
    </row>
    <row r="751" ht="20.1" customHeight="1" spans="1:8">
      <c r="A751" s="5" t="str">
        <f t="shared" si="45"/>
        <v>221007</v>
      </c>
      <c r="B751" s="5" t="str">
        <f>"2022112529"</f>
        <v>2022112529</v>
      </c>
      <c r="C751" s="5" t="str">
        <f t="shared" si="44"/>
        <v>25</v>
      </c>
      <c r="D751" s="5" t="str">
        <f>"29"</f>
        <v>29</v>
      </c>
      <c r="E751" s="6">
        <v>114</v>
      </c>
      <c r="F751" s="6">
        <v>111.1</v>
      </c>
      <c r="G751" s="6">
        <v>75.0333333333333</v>
      </c>
      <c r="H751" s="6" t="s">
        <v>9</v>
      </c>
    </row>
    <row r="752" ht="20.1" customHeight="1" spans="1:8">
      <c r="A752" s="5" t="str">
        <f t="shared" si="45"/>
        <v>221007</v>
      </c>
      <c r="B752" s="5" t="str">
        <f>"2022112530"</f>
        <v>2022112530</v>
      </c>
      <c r="C752" s="5" t="str">
        <f t="shared" si="44"/>
        <v>25</v>
      </c>
      <c r="D752" s="5" t="str">
        <f>"30"</f>
        <v>30</v>
      </c>
      <c r="E752" s="6">
        <v>105</v>
      </c>
      <c r="F752" s="6">
        <v>91.7</v>
      </c>
      <c r="G752" s="6">
        <v>65.5666666666667</v>
      </c>
      <c r="H752" s="6" t="s">
        <v>9</v>
      </c>
    </row>
    <row r="753" ht="20.1" customHeight="1" spans="1:8">
      <c r="A753" s="5" t="str">
        <f t="shared" si="45"/>
        <v>221007</v>
      </c>
      <c r="B753" s="5" t="str">
        <f>"2022112601"</f>
        <v>2022112601</v>
      </c>
      <c r="C753" s="5" t="str">
        <f t="shared" ref="C753:C782" si="46">"26"</f>
        <v>26</v>
      </c>
      <c r="D753" s="5" t="str">
        <f>"01"</f>
        <v>01</v>
      </c>
      <c r="E753" s="6">
        <v>102</v>
      </c>
      <c r="F753" s="6">
        <v>105.1</v>
      </c>
      <c r="G753" s="6">
        <v>69.0333333333333</v>
      </c>
      <c r="H753" s="6" t="s">
        <v>9</v>
      </c>
    </row>
    <row r="754" ht="20.1" customHeight="1" spans="1:8">
      <c r="A754" s="5" t="str">
        <f t="shared" si="45"/>
        <v>221007</v>
      </c>
      <c r="B754" s="5" t="str">
        <f>"2022112602"</f>
        <v>2022112602</v>
      </c>
      <c r="C754" s="5" t="str">
        <f t="shared" si="46"/>
        <v>26</v>
      </c>
      <c r="D754" s="5" t="str">
        <f>"02"</f>
        <v>02</v>
      </c>
      <c r="E754" s="6">
        <v>88.5</v>
      </c>
      <c r="F754" s="6">
        <v>111.5</v>
      </c>
      <c r="G754" s="6">
        <v>66.6666666666667</v>
      </c>
      <c r="H754" s="6" t="s">
        <v>9</v>
      </c>
    </row>
    <row r="755" ht="20.1" customHeight="1" spans="1:8">
      <c r="A755" s="5" t="str">
        <f t="shared" si="45"/>
        <v>221007</v>
      </c>
      <c r="B755" s="5" t="str">
        <f>"2022112603"</f>
        <v>2022112603</v>
      </c>
      <c r="C755" s="5" t="str">
        <f t="shared" si="46"/>
        <v>26</v>
      </c>
      <c r="D755" s="5" t="str">
        <f>"03"</f>
        <v>03</v>
      </c>
      <c r="E755" s="6">
        <v>0</v>
      </c>
      <c r="F755" s="6">
        <v>0</v>
      </c>
      <c r="G755" s="6">
        <v>0</v>
      </c>
      <c r="H755" s="6" t="s">
        <v>10</v>
      </c>
    </row>
    <row r="756" ht="20.1" customHeight="1" spans="1:8">
      <c r="A756" s="5" t="str">
        <f t="shared" si="45"/>
        <v>221007</v>
      </c>
      <c r="B756" s="5" t="str">
        <f>"2022112604"</f>
        <v>2022112604</v>
      </c>
      <c r="C756" s="5" t="str">
        <f t="shared" si="46"/>
        <v>26</v>
      </c>
      <c r="D756" s="5" t="str">
        <f>"04"</f>
        <v>04</v>
      </c>
      <c r="E756" s="6">
        <v>0</v>
      </c>
      <c r="F756" s="6">
        <v>0</v>
      </c>
      <c r="G756" s="6">
        <v>0</v>
      </c>
      <c r="H756" s="6" t="s">
        <v>10</v>
      </c>
    </row>
    <row r="757" ht="20.1" customHeight="1" spans="1:8">
      <c r="A757" s="5" t="str">
        <f t="shared" si="45"/>
        <v>221007</v>
      </c>
      <c r="B757" s="5" t="str">
        <f>"2022112605"</f>
        <v>2022112605</v>
      </c>
      <c r="C757" s="5" t="str">
        <f t="shared" si="46"/>
        <v>26</v>
      </c>
      <c r="D757" s="5" t="str">
        <f>"05"</f>
        <v>05</v>
      </c>
      <c r="E757" s="6">
        <v>69</v>
      </c>
      <c r="F757" s="6">
        <v>17.7</v>
      </c>
      <c r="G757" s="6">
        <v>28.9</v>
      </c>
      <c r="H757" s="6" t="s">
        <v>9</v>
      </c>
    </row>
    <row r="758" ht="20.1" customHeight="1" spans="1:8">
      <c r="A758" s="5" t="str">
        <f t="shared" ref="A758:A789" si="47">"221007"</f>
        <v>221007</v>
      </c>
      <c r="B758" s="5" t="str">
        <f>"2022112606"</f>
        <v>2022112606</v>
      </c>
      <c r="C758" s="5" t="str">
        <f t="shared" si="46"/>
        <v>26</v>
      </c>
      <c r="D758" s="5" t="str">
        <f>"06"</f>
        <v>06</v>
      </c>
      <c r="E758" s="6">
        <v>0</v>
      </c>
      <c r="F758" s="6">
        <v>0</v>
      </c>
      <c r="G758" s="6">
        <v>0</v>
      </c>
      <c r="H758" s="6" t="s">
        <v>10</v>
      </c>
    </row>
    <row r="759" ht="20.1" customHeight="1" spans="1:8">
      <c r="A759" s="5" t="str">
        <f t="shared" si="47"/>
        <v>221007</v>
      </c>
      <c r="B759" s="5" t="str">
        <f>"2022112607"</f>
        <v>2022112607</v>
      </c>
      <c r="C759" s="5" t="str">
        <f t="shared" si="46"/>
        <v>26</v>
      </c>
      <c r="D759" s="5" t="str">
        <f>"07"</f>
        <v>07</v>
      </c>
      <c r="E759" s="6">
        <v>0</v>
      </c>
      <c r="F759" s="6">
        <v>0</v>
      </c>
      <c r="G759" s="6">
        <v>0</v>
      </c>
      <c r="H759" s="6" t="s">
        <v>10</v>
      </c>
    </row>
    <row r="760" ht="20.1" customHeight="1" spans="1:8">
      <c r="A760" s="5" t="str">
        <f t="shared" si="47"/>
        <v>221007</v>
      </c>
      <c r="B760" s="5" t="str">
        <f>"2022112608"</f>
        <v>2022112608</v>
      </c>
      <c r="C760" s="5" t="str">
        <f t="shared" si="46"/>
        <v>26</v>
      </c>
      <c r="D760" s="5" t="str">
        <f>"08"</f>
        <v>08</v>
      </c>
      <c r="E760" s="6">
        <v>99</v>
      </c>
      <c r="F760" s="6">
        <v>101</v>
      </c>
      <c r="G760" s="6">
        <v>66.6666666666667</v>
      </c>
      <c r="H760" s="6" t="s">
        <v>9</v>
      </c>
    </row>
    <row r="761" ht="20.1" customHeight="1" spans="1:8">
      <c r="A761" s="5" t="str">
        <f t="shared" si="47"/>
        <v>221007</v>
      </c>
      <c r="B761" s="5" t="str">
        <f>"2022112609"</f>
        <v>2022112609</v>
      </c>
      <c r="C761" s="5" t="str">
        <f t="shared" si="46"/>
        <v>26</v>
      </c>
      <c r="D761" s="5" t="str">
        <f>"09"</f>
        <v>09</v>
      </c>
      <c r="E761" s="6">
        <v>0</v>
      </c>
      <c r="F761" s="6">
        <v>0</v>
      </c>
      <c r="G761" s="6">
        <v>0</v>
      </c>
      <c r="H761" s="6" t="s">
        <v>10</v>
      </c>
    </row>
    <row r="762" ht="20.1" customHeight="1" spans="1:8">
      <c r="A762" s="5" t="str">
        <f t="shared" si="47"/>
        <v>221007</v>
      </c>
      <c r="B762" s="5" t="str">
        <f>"2022112610"</f>
        <v>2022112610</v>
      </c>
      <c r="C762" s="5" t="str">
        <f t="shared" si="46"/>
        <v>26</v>
      </c>
      <c r="D762" s="5" t="str">
        <f>"10"</f>
        <v>10</v>
      </c>
      <c r="E762" s="6">
        <v>0</v>
      </c>
      <c r="F762" s="6">
        <v>0</v>
      </c>
      <c r="G762" s="6">
        <v>0</v>
      </c>
      <c r="H762" s="6" t="s">
        <v>10</v>
      </c>
    </row>
    <row r="763" ht="20.1" customHeight="1" spans="1:8">
      <c r="A763" s="5" t="str">
        <f t="shared" si="47"/>
        <v>221007</v>
      </c>
      <c r="B763" s="5" t="str">
        <f>"2022112611"</f>
        <v>2022112611</v>
      </c>
      <c r="C763" s="5" t="str">
        <f t="shared" si="46"/>
        <v>26</v>
      </c>
      <c r="D763" s="5" t="str">
        <f>"11"</f>
        <v>11</v>
      </c>
      <c r="E763" s="6">
        <v>108</v>
      </c>
      <c r="F763" s="6">
        <v>112.7</v>
      </c>
      <c r="G763" s="6">
        <v>73.5666666666667</v>
      </c>
      <c r="H763" s="6" t="s">
        <v>9</v>
      </c>
    </row>
    <row r="764" ht="20.1" customHeight="1" spans="1:8">
      <c r="A764" s="5" t="str">
        <f t="shared" si="47"/>
        <v>221007</v>
      </c>
      <c r="B764" s="5" t="str">
        <f>"2022112612"</f>
        <v>2022112612</v>
      </c>
      <c r="C764" s="5" t="str">
        <f t="shared" si="46"/>
        <v>26</v>
      </c>
      <c r="D764" s="5" t="str">
        <f>"12"</f>
        <v>12</v>
      </c>
      <c r="E764" s="6">
        <v>118.5</v>
      </c>
      <c r="F764" s="6">
        <v>113.1</v>
      </c>
      <c r="G764" s="6">
        <v>77.2</v>
      </c>
      <c r="H764" s="6" t="s">
        <v>9</v>
      </c>
    </row>
    <row r="765" ht="20.1" customHeight="1" spans="1:8">
      <c r="A765" s="5" t="str">
        <f t="shared" si="47"/>
        <v>221007</v>
      </c>
      <c r="B765" s="5" t="str">
        <f>"2022112613"</f>
        <v>2022112613</v>
      </c>
      <c r="C765" s="5" t="str">
        <f t="shared" si="46"/>
        <v>26</v>
      </c>
      <c r="D765" s="5" t="str">
        <f>"13"</f>
        <v>13</v>
      </c>
      <c r="E765" s="6">
        <v>105</v>
      </c>
      <c r="F765" s="6">
        <v>111.6</v>
      </c>
      <c r="G765" s="6">
        <v>72.2</v>
      </c>
      <c r="H765" s="6" t="s">
        <v>9</v>
      </c>
    </row>
    <row r="766" ht="20.1" customHeight="1" spans="1:8">
      <c r="A766" s="5" t="str">
        <f t="shared" si="47"/>
        <v>221007</v>
      </c>
      <c r="B766" s="5" t="str">
        <f>"2022112614"</f>
        <v>2022112614</v>
      </c>
      <c r="C766" s="5" t="str">
        <f t="shared" si="46"/>
        <v>26</v>
      </c>
      <c r="D766" s="5" t="str">
        <f>"14"</f>
        <v>14</v>
      </c>
      <c r="E766" s="6">
        <v>87</v>
      </c>
      <c r="F766" s="6">
        <v>101.1</v>
      </c>
      <c r="G766" s="6">
        <v>62.7</v>
      </c>
      <c r="H766" s="6" t="s">
        <v>9</v>
      </c>
    </row>
    <row r="767" ht="20.1" customHeight="1" spans="1:8">
      <c r="A767" s="5" t="str">
        <f t="shared" si="47"/>
        <v>221007</v>
      </c>
      <c r="B767" s="5" t="str">
        <f>"2022112615"</f>
        <v>2022112615</v>
      </c>
      <c r="C767" s="5" t="str">
        <f t="shared" si="46"/>
        <v>26</v>
      </c>
      <c r="D767" s="5" t="str">
        <f>"15"</f>
        <v>15</v>
      </c>
      <c r="E767" s="6">
        <v>127.5</v>
      </c>
      <c r="F767" s="6">
        <v>114.2</v>
      </c>
      <c r="G767" s="6">
        <v>80.5666666666667</v>
      </c>
      <c r="H767" s="7" t="s">
        <v>11</v>
      </c>
    </row>
    <row r="768" ht="20.1" customHeight="1" spans="1:8">
      <c r="A768" s="5" t="str">
        <f t="shared" si="47"/>
        <v>221007</v>
      </c>
      <c r="B768" s="5" t="str">
        <f>"2022112616"</f>
        <v>2022112616</v>
      </c>
      <c r="C768" s="5" t="str">
        <f t="shared" si="46"/>
        <v>26</v>
      </c>
      <c r="D768" s="5" t="str">
        <f>"16"</f>
        <v>16</v>
      </c>
      <c r="E768" s="6">
        <v>96</v>
      </c>
      <c r="F768" s="6">
        <v>106.5</v>
      </c>
      <c r="G768" s="6">
        <v>67.5</v>
      </c>
      <c r="H768" s="6" t="s">
        <v>9</v>
      </c>
    </row>
    <row r="769" ht="20.1" customHeight="1" spans="1:8">
      <c r="A769" s="5" t="str">
        <f t="shared" si="47"/>
        <v>221007</v>
      </c>
      <c r="B769" s="5" t="str">
        <f>"2022112617"</f>
        <v>2022112617</v>
      </c>
      <c r="C769" s="5" t="str">
        <f t="shared" si="46"/>
        <v>26</v>
      </c>
      <c r="D769" s="5" t="str">
        <f>"17"</f>
        <v>17</v>
      </c>
      <c r="E769" s="6">
        <v>115.5</v>
      </c>
      <c r="F769" s="6">
        <v>105.9</v>
      </c>
      <c r="G769" s="6">
        <v>73.8</v>
      </c>
      <c r="H769" s="6" t="s">
        <v>9</v>
      </c>
    </row>
    <row r="770" ht="20.1" customHeight="1" spans="1:8">
      <c r="A770" s="5" t="str">
        <f t="shared" si="47"/>
        <v>221007</v>
      </c>
      <c r="B770" s="5" t="str">
        <f>"2022112618"</f>
        <v>2022112618</v>
      </c>
      <c r="C770" s="5" t="str">
        <f t="shared" si="46"/>
        <v>26</v>
      </c>
      <c r="D770" s="5" t="str">
        <f>"18"</f>
        <v>18</v>
      </c>
      <c r="E770" s="6">
        <v>0</v>
      </c>
      <c r="F770" s="6">
        <v>0</v>
      </c>
      <c r="G770" s="6">
        <v>0</v>
      </c>
      <c r="H770" s="6" t="s">
        <v>10</v>
      </c>
    </row>
    <row r="771" ht="20.1" customHeight="1" spans="1:8">
      <c r="A771" s="5" t="str">
        <f t="shared" si="47"/>
        <v>221007</v>
      </c>
      <c r="B771" s="5" t="str">
        <f>"2022112619"</f>
        <v>2022112619</v>
      </c>
      <c r="C771" s="5" t="str">
        <f t="shared" si="46"/>
        <v>26</v>
      </c>
      <c r="D771" s="5" t="str">
        <f>"19"</f>
        <v>19</v>
      </c>
      <c r="E771" s="6">
        <v>118.5</v>
      </c>
      <c r="F771" s="6">
        <v>108.4</v>
      </c>
      <c r="G771" s="6">
        <v>75.6333333333333</v>
      </c>
      <c r="H771" s="6" t="s">
        <v>9</v>
      </c>
    </row>
    <row r="772" ht="20.1" customHeight="1" spans="1:8">
      <c r="A772" s="5" t="str">
        <f t="shared" si="47"/>
        <v>221007</v>
      </c>
      <c r="B772" s="5" t="str">
        <f>"2022112620"</f>
        <v>2022112620</v>
      </c>
      <c r="C772" s="5" t="str">
        <f t="shared" si="46"/>
        <v>26</v>
      </c>
      <c r="D772" s="5" t="str">
        <f>"20"</f>
        <v>20</v>
      </c>
      <c r="E772" s="6">
        <v>124.5</v>
      </c>
      <c r="F772" s="6">
        <v>108.6</v>
      </c>
      <c r="G772" s="6">
        <v>77.7</v>
      </c>
      <c r="H772" s="6" t="s">
        <v>9</v>
      </c>
    </row>
    <row r="773" ht="20.1" customHeight="1" spans="1:8">
      <c r="A773" s="5" t="str">
        <f t="shared" si="47"/>
        <v>221007</v>
      </c>
      <c r="B773" s="5" t="str">
        <f>"2022112621"</f>
        <v>2022112621</v>
      </c>
      <c r="C773" s="5" t="str">
        <f t="shared" si="46"/>
        <v>26</v>
      </c>
      <c r="D773" s="5" t="str">
        <f>"21"</f>
        <v>21</v>
      </c>
      <c r="E773" s="6">
        <v>115.5</v>
      </c>
      <c r="F773" s="6">
        <v>96.2</v>
      </c>
      <c r="G773" s="6">
        <v>70.5666666666667</v>
      </c>
      <c r="H773" s="6" t="s">
        <v>9</v>
      </c>
    </row>
    <row r="774" ht="20.1" customHeight="1" spans="1:8">
      <c r="A774" s="5" t="str">
        <f t="shared" si="47"/>
        <v>221007</v>
      </c>
      <c r="B774" s="5" t="str">
        <f>"2022112622"</f>
        <v>2022112622</v>
      </c>
      <c r="C774" s="5" t="str">
        <f t="shared" si="46"/>
        <v>26</v>
      </c>
      <c r="D774" s="5" t="str">
        <f>"22"</f>
        <v>22</v>
      </c>
      <c r="E774" s="6">
        <v>0</v>
      </c>
      <c r="F774" s="6">
        <v>0</v>
      </c>
      <c r="G774" s="6">
        <v>0</v>
      </c>
      <c r="H774" s="6" t="s">
        <v>10</v>
      </c>
    </row>
    <row r="775" ht="20.1" customHeight="1" spans="1:8">
      <c r="A775" s="5" t="str">
        <f t="shared" si="47"/>
        <v>221007</v>
      </c>
      <c r="B775" s="5" t="str">
        <f>"2022112623"</f>
        <v>2022112623</v>
      </c>
      <c r="C775" s="5" t="str">
        <f t="shared" si="46"/>
        <v>26</v>
      </c>
      <c r="D775" s="5" t="str">
        <f>"23"</f>
        <v>23</v>
      </c>
      <c r="E775" s="6">
        <v>0</v>
      </c>
      <c r="F775" s="6">
        <v>0</v>
      </c>
      <c r="G775" s="6">
        <v>0</v>
      </c>
      <c r="H775" s="6" t="s">
        <v>10</v>
      </c>
    </row>
    <row r="776" ht="20.1" customHeight="1" spans="1:8">
      <c r="A776" s="5" t="str">
        <f t="shared" si="47"/>
        <v>221007</v>
      </c>
      <c r="B776" s="5" t="str">
        <f>"2022112624"</f>
        <v>2022112624</v>
      </c>
      <c r="C776" s="5" t="str">
        <f t="shared" si="46"/>
        <v>26</v>
      </c>
      <c r="D776" s="5" t="str">
        <f>"24"</f>
        <v>24</v>
      </c>
      <c r="E776" s="6">
        <v>84</v>
      </c>
      <c r="F776" s="6">
        <v>102.3</v>
      </c>
      <c r="G776" s="6">
        <v>62.1</v>
      </c>
      <c r="H776" s="6" t="s">
        <v>9</v>
      </c>
    </row>
    <row r="777" ht="20.1" customHeight="1" spans="1:8">
      <c r="A777" s="5" t="str">
        <f t="shared" si="47"/>
        <v>221007</v>
      </c>
      <c r="B777" s="5" t="str">
        <f>"2022112625"</f>
        <v>2022112625</v>
      </c>
      <c r="C777" s="5" t="str">
        <f t="shared" si="46"/>
        <v>26</v>
      </c>
      <c r="D777" s="5" t="str">
        <f>"25"</f>
        <v>25</v>
      </c>
      <c r="E777" s="6">
        <v>0</v>
      </c>
      <c r="F777" s="6">
        <v>0</v>
      </c>
      <c r="G777" s="6">
        <v>0</v>
      </c>
      <c r="H777" s="6" t="s">
        <v>10</v>
      </c>
    </row>
    <row r="778" ht="20.1" customHeight="1" spans="1:8">
      <c r="A778" s="5" t="str">
        <f t="shared" si="47"/>
        <v>221007</v>
      </c>
      <c r="B778" s="5" t="str">
        <f>"2022112626"</f>
        <v>2022112626</v>
      </c>
      <c r="C778" s="5" t="str">
        <f t="shared" si="46"/>
        <v>26</v>
      </c>
      <c r="D778" s="5" t="str">
        <f>"26"</f>
        <v>26</v>
      </c>
      <c r="E778" s="6">
        <v>111</v>
      </c>
      <c r="F778" s="6">
        <v>90.7</v>
      </c>
      <c r="G778" s="6">
        <v>67.2333333333333</v>
      </c>
      <c r="H778" s="6" t="s">
        <v>9</v>
      </c>
    </row>
    <row r="779" ht="20.1" customHeight="1" spans="1:8">
      <c r="A779" s="5" t="str">
        <f t="shared" si="47"/>
        <v>221007</v>
      </c>
      <c r="B779" s="5" t="str">
        <f>"2022112627"</f>
        <v>2022112627</v>
      </c>
      <c r="C779" s="5" t="str">
        <f t="shared" si="46"/>
        <v>26</v>
      </c>
      <c r="D779" s="5" t="str">
        <f>"27"</f>
        <v>27</v>
      </c>
      <c r="E779" s="6">
        <v>102</v>
      </c>
      <c r="F779" s="6">
        <v>112.9</v>
      </c>
      <c r="G779" s="6">
        <v>71.6333333333333</v>
      </c>
      <c r="H779" s="6" t="s">
        <v>9</v>
      </c>
    </row>
    <row r="780" ht="20.1" customHeight="1" spans="1:8">
      <c r="A780" s="5" t="str">
        <f t="shared" si="47"/>
        <v>221007</v>
      </c>
      <c r="B780" s="5" t="str">
        <f>"2022112628"</f>
        <v>2022112628</v>
      </c>
      <c r="C780" s="5" t="str">
        <f t="shared" si="46"/>
        <v>26</v>
      </c>
      <c r="D780" s="5" t="str">
        <f>"28"</f>
        <v>28</v>
      </c>
      <c r="E780" s="6">
        <v>108</v>
      </c>
      <c r="F780" s="6">
        <v>107.5</v>
      </c>
      <c r="G780" s="6">
        <v>71.8333333333333</v>
      </c>
      <c r="H780" s="6" t="s">
        <v>9</v>
      </c>
    </row>
    <row r="781" ht="20.1" customHeight="1" spans="1:8">
      <c r="A781" s="5" t="str">
        <f t="shared" si="47"/>
        <v>221007</v>
      </c>
      <c r="B781" s="5" t="str">
        <f>"2022112629"</f>
        <v>2022112629</v>
      </c>
      <c r="C781" s="5" t="str">
        <f t="shared" si="46"/>
        <v>26</v>
      </c>
      <c r="D781" s="5" t="str">
        <f>"29"</f>
        <v>29</v>
      </c>
      <c r="E781" s="6">
        <v>120</v>
      </c>
      <c r="F781" s="6">
        <v>111.5</v>
      </c>
      <c r="G781" s="6">
        <v>77.1666666666667</v>
      </c>
      <c r="H781" s="6" t="s">
        <v>9</v>
      </c>
    </row>
    <row r="782" ht="20.1" customHeight="1" spans="1:8">
      <c r="A782" s="5" t="str">
        <f t="shared" si="47"/>
        <v>221007</v>
      </c>
      <c r="B782" s="5" t="str">
        <f>"2022112630"</f>
        <v>2022112630</v>
      </c>
      <c r="C782" s="5" t="str">
        <f t="shared" si="46"/>
        <v>26</v>
      </c>
      <c r="D782" s="5" t="str">
        <f>"30"</f>
        <v>30</v>
      </c>
      <c r="E782" s="6">
        <v>0</v>
      </c>
      <c r="F782" s="6">
        <v>0</v>
      </c>
      <c r="G782" s="6">
        <v>0</v>
      </c>
      <c r="H782" s="6" t="s">
        <v>10</v>
      </c>
    </row>
    <row r="783" ht="20.1" customHeight="1" spans="1:8">
      <c r="A783" s="5" t="str">
        <f t="shared" si="47"/>
        <v>221007</v>
      </c>
      <c r="B783" s="5" t="str">
        <f>"2022112701"</f>
        <v>2022112701</v>
      </c>
      <c r="C783" s="5" t="str">
        <f t="shared" ref="C783:C812" si="48">"27"</f>
        <v>27</v>
      </c>
      <c r="D783" s="5" t="str">
        <f>"01"</f>
        <v>01</v>
      </c>
      <c r="E783" s="6">
        <v>111</v>
      </c>
      <c r="F783" s="6">
        <v>112.2</v>
      </c>
      <c r="G783" s="6">
        <v>74.4</v>
      </c>
      <c r="H783" s="6" t="s">
        <v>9</v>
      </c>
    </row>
    <row r="784" ht="20.1" customHeight="1" spans="1:8">
      <c r="A784" s="5" t="str">
        <f t="shared" si="47"/>
        <v>221007</v>
      </c>
      <c r="B784" s="5" t="str">
        <f>"2022112702"</f>
        <v>2022112702</v>
      </c>
      <c r="C784" s="5" t="str">
        <f t="shared" si="48"/>
        <v>27</v>
      </c>
      <c r="D784" s="5" t="str">
        <f>"02"</f>
        <v>02</v>
      </c>
      <c r="E784" s="6">
        <v>0</v>
      </c>
      <c r="F784" s="6">
        <v>0</v>
      </c>
      <c r="G784" s="6">
        <v>0</v>
      </c>
      <c r="H784" s="6" t="s">
        <v>10</v>
      </c>
    </row>
    <row r="785" ht="20.1" customHeight="1" spans="1:8">
      <c r="A785" s="5" t="str">
        <f t="shared" si="47"/>
        <v>221007</v>
      </c>
      <c r="B785" s="5" t="str">
        <f>"2022112703"</f>
        <v>2022112703</v>
      </c>
      <c r="C785" s="5" t="str">
        <f t="shared" si="48"/>
        <v>27</v>
      </c>
      <c r="D785" s="5" t="str">
        <f>"03"</f>
        <v>03</v>
      </c>
      <c r="E785" s="6">
        <v>115.5</v>
      </c>
      <c r="F785" s="6">
        <v>112.8</v>
      </c>
      <c r="G785" s="6">
        <v>76.1</v>
      </c>
      <c r="H785" s="6" t="s">
        <v>9</v>
      </c>
    </row>
    <row r="786" ht="20.1" customHeight="1" spans="1:8">
      <c r="A786" s="5" t="str">
        <f t="shared" si="47"/>
        <v>221007</v>
      </c>
      <c r="B786" s="5" t="str">
        <f>"2022112704"</f>
        <v>2022112704</v>
      </c>
      <c r="C786" s="5" t="str">
        <f t="shared" si="48"/>
        <v>27</v>
      </c>
      <c r="D786" s="5" t="str">
        <f>"04"</f>
        <v>04</v>
      </c>
      <c r="E786" s="6">
        <v>108</v>
      </c>
      <c r="F786" s="6">
        <v>115.1</v>
      </c>
      <c r="G786" s="6">
        <v>74.3666666666667</v>
      </c>
      <c r="H786" s="6" t="s">
        <v>9</v>
      </c>
    </row>
    <row r="787" ht="20.1" customHeight="1" spans="1:8">
      <c r="A787" s="5" t="str">
        <f t="shared" si="47"/>
        <v>221007</v>
      </c>
      <c r="B787" s="5" t="str">
        <f>"2022112705"</f>
        <v>2022112705</v>
      </c>
      <c r="C787" s="5" t="str">
        <f t="shared" si="48"/>
        <v>27</v>
      </c>
      <c r="D787" s="5" t="str">
        <f>"05"</f>
        <v>05</v>
      </c>
      <c r="E787" s="6">
        <v>0</v>
      </c>
      <c r="F787" s="6">
        <v>0</v>
      </c>
      <c r="G787" s="6">
        <v>0</v>
      </c>
      <c r="H787" s="6" t="s">
        <v>10</v>
      </c>
    </row>
    <row r="788" ht="20.1" customHeight="1" spans="1:8">
      <c r="A788" s="5" t="str">
        <f t="shared" si="47"/>
        <v>221007</v>
      </c>
      <c r="B788" s="5" t="str">
        <f>"2022112706"</f>
        <v>2022112706</v>
      </c>
      <c r="C788" s="5" t="str">
        <f t="shared" si="48"/>
        <v>27</v>
      </c>
      <c r="D788" s="5" t="str">
        <f>"06"</f>
        <v>06</v>
      </c>
      <c r="E788" s="6">
        <v>60</v>
      </c>
      <c r="F788" s="6">
        <v>94</v>
      </c>
      <c r="G788" s="6">
        <v>51.3333333333333</v>
      </c>
      <c r="H788" s="6" t="s">
        <v>9</v>
      </c>
    </row>
    <row r="789" ht="20.1" customHeight="1" spans="1:8">
      <c r="A789" s="5" t="str">
        <f t="shared" si="47"/>
        <v>221007</v>
      </c>
      <c r="B789" s="5" t="str">
        <f>"2022112707"</f>
        <v>2022112707</v>
      </c>
      <c r="C789" s="5" t="str">
        <f t="shared" si="48"/>
        <v>27</v>
      </c>
      <c r="D789" s="5" t="str">
        <f>"07"</f>
        <v>07</v>
      </c>
      <c r="E789" s="6">
        <v>0</v>
      </c>
      <c r="F789" s="6">
        <v>0</v>
      </c>
      <c r="G789" s="6">
        <v>0</v>
      </c>
      <c r="H789" s="6" t="s">
        <v>10</v>
      </c>
    </row>
    <row r="790" ht="20.1" customHeight="1" spans="1:8">
      <c r="A790" s="5" t="str">
        <f t="shared" ref="A790:A803" si="49">"221007"</f>
        <v>221007</v>
      </c>
      <c r="B790" s="5" t="str">
        <f>"2022112708"</f>
        <v>2022112708</v>
      </c>
      <c r="C790" s="5" t="str">
        <f t="shared" si="48"/>
        <v>27</v>
      </c>
      <c r="D790" s="5" t="str">
        <f>"08"</f>
        <v>08</v>
      </c>
      <c r="E790" s="6">
        <v>0</v>
      </c>
      <c r="F790" s="6">
        <v>0</v>
      </c>
      <c r="G790" s="6">
        <v>0</v>
      </c>
      <c r="H790" s="6" t="s">
        <v>10</v>
      </c>
    </row>
    <row r="791" ht="20.1" customHeight="1" spans="1:8">
      <c r="A791" s="5" t="str">
        <f t="shared" si="49"/>
        <v>221007</v>
      </c>
      <c r="B791" s="5" t="str">
        <f>"2022112709"</f>
        <v>2022112709</v>
      </c>
      <c r="C791" s="5" t="str">
        <f t="shared" si="48"/>
        <v>27</v>
      </c>
      <c r="D791" s="5" t="str">
        <f>"09"</f>
        <v>09</v>
      </c>
      <c r="E791" s="6">
        <v>70.5</v>
      </c>
      <c r="F791" s="6">
        <v>109.8</v>
      </c>
      <c r="G791" s="6">
        <v>60.1</v>
      </c>
      <c r="H791" s="6" t="s">
        <v>9</v>
      </c>
    </row>
    <row r="792" ht="20.1" customHeight="1" spans="1:8">
      <c r="A792" s="5" t="str">
        <f t="shared" si="49"/>
        <v>221007</v>
      </c>
      <c r="B792" s="5" t="str">
        <f>"2022112710"</f>
        <v>2022112710</v>
      </c>
      <c r="C792" s="5" t="str">
        <f t="shared" si="48"/>
        <v>27</v>
      </c>
      <c r="D792" s="5" t="str">
        <f>"10"</f>
        <v>10</v>
      </c>
      <c r="E792" s="6">
        <v>108</v>
      </c>
      <c r="F792" s="6">
        <v>115.5</v>
      </c>
      <c r="G792" s="6">
        <v>74.5</v>
      </c>
      <c r="H792" s="6" t="s">
        <v>9</v>
      </c>
    </row>
    <row r="793" ht="20.1" customHeight="1" spans="1:8">
      <c r="A793" s="5" t="str">
        <f t="shared" si="49"/>
        <v>221007</v>
      </c>
      <c r="B793" s="5" t="str">
        <f>"2022112711"</f>
        <v>2022112711</v>
      </c>
      <c r="C793" s="5" t="str">
        <f t="shared" si="48"/>
        <v>27</v>
      </c>
      <c r="D793" s="5" t="str">
        <f>"11"</f>
        <v>11</v>
      </c>
      <c r="E793" s="6">
        <v>0</v>
      </c>
      <c r="F793" s="6">
        <v>0</v>
      </c>
      <c r="G793" s="6">
        <v>0</v>
      </c>
      <c r="H793" s="6" t="s">
        <v>10</v>
      </c>
    </row>
    <row r="794" ht="20.1" customHeight="1" spans="1:8">
      <c r="A794" s="5" t="str">
        <f t="shared" si="49"/>
        <v>221007</v>
      </c>
      <c r="B794" s="5" t="str">
        <f>"2022112712"</f>
        <v>2022112712</v>
      </c>
      <c r="C794" s="5" t="str">
        <f t="shared" si="48"/>
        <v>27</v>
      </c>
      <c r="D794" s="5" t="str">
        <f>"12"</f>
        <v>12</v>
      </c>
      <c r="E794" s="6">
        <v>115.5</v>
      </c>
      <c r="F794" s="6">
        <v>113.8</v>
      </c>
      <c r="G794" s="6">
        <v>76.4333333333333</v>
      </c>
      <c r="H794" s="6" t="s">
        <v>9</v>
      </c>
    </row>
    <row r="795" ht="20.1" customHeight="1" spans="1:8">
      <c r="A795" s="5" t="str">
        <f t="shared" si="49"/>
        <v>221007</v>
      </c>
      <c r="B795" s="5" t="str">
        <f>"2022112713"</f>
        <v>2022112713</v>
      </c>
      <c r="C795" s="5" t="str">
        <f t="shared" si="48"/>
        <v>27</v>
      </c>
      <c r="D795" s="5" t="str">
        <f>"13"</f>
        <v>13</v>
      </c>
      <c r="E795" s="6">
        <v>102</v>
      </c>
      <c r="F795" s="6">
        <v>113</v>
      </c>
      <c r="G795" s="6">
        <v>71.6666666666667</v>
      </c>
      <c r="H795" s="6" t="s">
        <v>9</v>
      </c>
    </row>
    <row r="796" ht="20.1" customHeight="1" spans="1:8">
      <c r="A796" s="5" t="str">
        <f t="shared" si="49"/>
        <v>221007</v>
      </c>
      <c r="B796" s="5" t="str">
        <f>"2022112714"</f>
        <v>2022112714</v>
      </c>
      <c r="C796" s="5" t="str">
        <f t="shared" si="48"/>
        <v>27</v>
      </c>
      <c r="D796" s="5" t="str">
        <f>"14"</f>
        <v>14</v>
      </c>
      <c r="E796" s="6">
        <v>124.5</v>
      </c>
      <c r="F796" s="6">
        <v>83.9</v>
      </c>
      <c r="G796" s="6">
        <v>69.4666666666667</v>
      </c>
      <c r="H796" s="6" t="s">
        <v>9</v>
      </c>
    </row>
    <row r="797" ht="20.1" customHeight="1" spans="1:8">
      <c r="A797" s="5" t="str">
        <f t="shared" si="49"/>
        <v>221007</v>
      </c>
      <c r="B797" s="5" t="str">
        <f>"2022112715"</f>
        <v>2022112715</v>
      </c>
      <c r="C797" s="5" t="str">
        <f t="shared" si="48"/>
        <v>27</v>
      </c>
      <c r="D797" s="5" t="str">
        <f>"15"</f>
        <v>15</v>
      </c>
      <c r="E797" s="6">
        <v>0</v>
      </c>
      <c r="F797" s="6">
        <v>0</v>
      </c>
      <c r="G797" s="6">
        <v>0</v>
      </c>
      <c r="H797" s="6" t="s">
        <v>10</v>
      </c>
    </row>
    <row r="798" ht="20.1" customHeight="1" spans="1:8">
      <c r="A798" s="5" t="str">
        <f t="shared" si="49"/>
        <v>221007</v>
      </c>
      <c r="B798" s="5" t="str">
        <f>"2022112716"</f>
        <v>2022112716</v>
      </c>
      <c r="C798" s="5" t="str">
        <f t="shared" si="48"/>
        <v>27</v>
      </c>
      <c r="D798" s="5" t="str">
        <f>"16"</f>
        <v>16</v>
      </c>
      <c r="E798" s="6">
        <v>115.5</v>
      </c>
      <c r="F798" s="6">
        <v>116.6</v>
      </c>
      <c r="G798" s="6">
        <v>77.3666666666667</v>
      </c>
      <c r="H798" s="6" t="s">
        <v>9</v>
      </c>
    </row>
    <row r="799" ht="20.1" customHeight="1" spans="1:8">
      <c r="A799" s="5" t="str">
        <f t="shared" si="49"/>
        <v>221007</v>
      </c>
      <c r="B799" s="5" t="str">
        <f>"2022112717"</f>
        <v>2022112717</v>
      </c>
      <c r="C799" s="5" t="str">
        <f t="shared" si="48"/>
        <v>27</v>
      </c>
      <c r="D799" s="5" t="str">
        <f>"17"</f>
        <v>17</v>
      </c>
      <c r="E799" s="6">
        <v>118.5</v>
      </c>
      <c r="F799" s="6">
        <v>99.3</v>
      </c>
      <c r="G799" s="6">
        <v>72.6</v>
      </c>
      <c r="H799" s="6" t="s">
        <v>9</v>
      </c>
    </row>
    <row r="800" ht="20.1" customHeight="1" spans="1:8">
      <c r="A800" s="5" t="str">
        <f t="shared" si="49"/>
        <v>221007</v>
      </c>
      <c r="B800" s="5" t="str">
        <f>"2022112718"</f>
        <v>2022112718</v>
      </c>
      <c r="C800" s="5" t="str">
        <f t="shared" si="48"/>
        <v>27</v>
      </c>
      <c r="D800" s="5" t="str">
        <f>"18"</f>
        <v>18</v>
      </c>
      <c r="E800" s="6">
        <v>114</v>
      </c>
      <c r="F800" s="6">
        <v>114.6</v>
      </c>
      <c r="G800" s="6">
        <v>76.2</v>
      </c>
      <c r="H800" s="6" t="s">
        <v>9</v>
      </c>
    </row>
    <row r="801" ht="20.1" customHeight="1" spans="1:8">
      <c r="A801" s="5" t="str">
        <f t="shared" si="49"/>
        <v>221007</v>
      </c>
      <c r="B801" s="5" t="str">
        <f>"2022112719"</f>
        <v>2022112719</v>
      </c>
      <c r="C801" s="5" t="str">
        <f t="shared" si="48"/>
        <v>27</v>
      </c>
      <c r="D801" s="5" t="str">
        <f>"19"</f>
        <v>19</v>
      </c>
      <c r="E801" s="6">
        <v>0</v>
      </c>
      <c r="F801" s="6">
        <v>0</v>
      </c>
      <c r="G801" s="6">
        <v>0</v>
      </c>
      <c r="H801" s="6" t="s">
        <v>10</v>
      </c>
    </row>
    <row r="802" ht="20.1" customHeight="1" spans="1:8">
      <c r="A802" s="5" t="str">
        <f t="shared" si="49"/>
        <v>221007</v>
      </c>
      <c r="B802" s="5" t="str">
        <f>"2022112720"</f>
        <v>2022112720</v>
      </c>
      <c r="C802" s="5" t="str">
        <f t="shared" si="48"/>
        <v>27</v>
      </c>
      <c r="D802" s="5" t="str">
        <f>"20"</f>
        <v>20</v>
      </c>
      <c r="E802" s="6">
        <v>0</v>
      </c>
      <c r="F802" s="6">
        <v>0</v>
      </c>
      <c r="G802" s="6">
        <v>0</v>
      </c>
      <c r="H802" s="6" t="s">
        <v>10</v>
      </c>
    </row>
    <row r="803" ht="20.1" customHeight="1" spans="1:8">
      <c r="A803" s="5" t="str">
        <f t="shared" si="49"/>
        <v>221007</v>
      </c>
      <c r="B803" s="5" t="str">
        <f>"2022112721"</f>
        <v>2022112721</v>
      </c>
      <c r="C803" s="5" t="str">
        <f t="shared" si="48"/>
        <v>27</v>
      </c>
      <c r="D803" s="5" t="str">
        <f>"21"</f>
        <v>21</v>
      </c>
      <c r="E803" s="6">
        <v>0</v>
      </c>
      <c r="F803" s="6">
        <v>0</v>
      </c>
      <c r="G803" s="6">
        <v>0</v>
      </c>
      <c r="H803" s="6" t="s">
        <v>10</v>
      </c>
    </row>
    <row r="804" ht="20.1" customHeight="1" spans="1:8">
      <c r="A804" s="5" t="str">
        <f t="shared" ref="A804:A835" si="50">"221008"</f>
        <v>221008</v>
      </c>
      <c r="B804" s="5" t="str">
        <f>"2022112722"</f>
        <v>2022112722</v>
      </c>
      <c r="C804" s="5" t="str">
        <f t="shared" si="48"/>
        <v>27</v>
      </c>
      <c r="D804" s="5" t="str">
        <f>"22"</f>
        <v>22</v>
      </c>
      <c r="E804" s="6">
        <v>100.5</v>
      </c>
      <c r="F804" s="6">
        <v>104.8</v>
      </c>
      <c r="G804" s="6">
        <v>68.4333333333333</v>
      </c>
      <c r="H804" s="6" t="s">
        <v>9</v>
      </c>
    </row>
    <row r="805" ht="20.1" customHeight="1" spans="1:8">
      <c r="A805" s="5" t="str">
        <f t="shared" si="50"/>
        <v>221008</v>
      </c>
      <c r="B805" s="5" t="str">
        <f>"2022112723"</f>
        <v>2022112723</v>
      </c>
      <c r="C805" s="5" t="str">
        <f t="shared" si="48"/>
        <v>27</v>
      </c>
      <c r="D805" s="5" t="str">
        <f>"23"</f>
        <v>23</v>
      </c>
      <c r="E805" s="6">
        <v>0</v>
      </c>
      <c r="F805" s="6">
        <v>0</v>
      </c>
      <c r="G805" s="6">
        <v>0</v>
      </c>
      <c r="H805" s="6" t="s">
        <v>10</v>
      </c>
    </row>
    <row r="806" ht="20.1" customHeight="1" spans="1:8">
      <c r="A806" s="5" t="str">
        <f t="shared" si="50"/>
        <v>221008</v>
      </c>
      <c r="B806" s="5" t="str">
        <f>"2022112724"</f>
        <v>2022112724</v>
      </c>
      <c r="C806" s="5" t="str">
        <f t="shared" si="48"/>
        <v>27</v>
      </c>
      <c r="D806" s="5" t="str">
        <f>"24"</f>
        <v>24</v>
      </c>
      <c r="E806" s="6">
        <v>0</v>
      </c>
      <c r="F806" s="6">
        <v>0</v>
      </c>
      <c r="G806" s="6">
        <v>0</v>
      </c>
      <c r="H806" s="6" t="s">
        <v>10</v>
      </c>
    </row>
    <row r="807" ht="20.1" customHeight="1" spans="1:8">
      <c r="A807" s="5" t="str">
        <f t="shared" si="50"/>
        <v>221008</v>
      </c>
      <c r="B807" s="5" t="str">
        <f>"2022112725"</f>
        <v>2022112725</v>
      </c>
      <c r="C807" s="5" t="str">
        <f t="shared" si="48"/>
        <v>27</v>
      </c>
      <c r="D807" s="5" t="str">
        <f>"25"</f>
        <v>25</v>
      </c>
      <c r="E807" s="6">
        <v>109.5</v>
      </c>
      <c r="F807" s="6">
        <v>90.6</v>
      </c>
      <c r="G807" s="6">
        <v>66.7</v>
      </c>
      <c r="H807" s="6" t="s">
        <v>9</v>
      </c>
    </row>
    <row r="808" ht="20.1" customHeight="1" spans="1:8">
      <c r="A808" s="5" t="str">
        <f t="shared" si="50"/>
        <v>221008</v>
      </c>
      <c r="B808" s="5" t="str">
        <f>"2022112726"</f>
        <v>2022112726</v>
      </c>
      <c r="C808" s="5" t="str">
        <f t="shared" si="48"/>
        <v>27</v>
      </c>
      <c r="D808" s="5" t="str">
        <f>"26"</f>
        <v>26</v>
      </c>
      <c r="E808" s="6">
        <v>120</v>
      </c>
      <c r="F808" s="6">
        <v>112</v>
      </c>
      <c r="G808" s="6">
        <v>77.3333333333333</v>
      </c>
      <c r="H808" s="6" t="s">
        <v>9</v>
      </c>
    </row>
    <row r="809" ht="20.1" customHeight="1" spans="1:8">
      <c r="A809" s="5" t="str">
        <f t="shared" si="50"/>
        <v>221008</v>
      </c>
      <c r="B809" s="5" t="str">
        <f>"2022112727"</f>
        <v>2022112727</v>
      </c>
      <c r="C809" s="5" t="str">
        <f t="shared" si="48"/>
        <v>27</v>
      </c>
      <c r="D809" s="5" t="str">
        <f>"27"</f>
        <v>27</v>
      </c>
      <c r="E809" s="6">
        <v>102</v>
      </c>
      <c r="F809" s="6">
        <v>105.1</v>
      </c>
      <c r="G809" s="6">
        <v>69.0333333333333</v>
      </c>
      <c r="H809" s="6" t="s">
        <v>9</v>
      </c>
    </row>
    <row r="810" ht="20.1" customHeight="1" spans="1:8">
      <c r="A810" s="5" t="str">
        <f t="shared" si="50"/>
        <v>221008</v>
      </c>
      <c r="B810" s="5" t="str">
        <f>"2022112728"</f>
        <v>2022112728</v>
      </c>
      <c r="C810" s="5" t="str">
        <f t="shared" si="48"/>
        <v>27</v>
      </c>
      <c r="D810" s="5" t="str">
        <f>"28"</f>
        <v>28</v>
      </c>
      <c r="E810" s="6">
        <v>0</v>
      </c>
      <c r="F810" s="6">
        <v>0</v>
      </c>
      <c r="G810" s="6">
        <v>0</v>
      </c>
      <c r="H810" s="6" t="s">
        <v>10</v>
      </c>
    </row>
    <row r="811" ht="20.1" customHeight="1" spans="1:8">
      <c r="A811" s="5" t="str">
        <f t="shared" si="50"/>
        <v>221008</v>
      </c>
      <c r="B811" s="5" t="str">
        <f>"2022112729"</f>
        <v>2022112729</v>
      </c>
      <c r="C811" s="5" t="str">
        <f t="shared" si="48"/>
        <v>27</v>
      </c>
      <c r="D811" s="5" t="str">
        <f>"29"</f>
        <v>29</v>
      </c>
      <c r="E811" s="6">
        <v>121.5</v>
      </c>
      <c r="F811" s="6">
        <v>103.2</v>
      </c>
      <c r="G811" s="6">
        <v>74.9</v>
      </c>
      <c r="H811" s="6" t="s">
        <v>9</v>
      </c>
    </row>
    <row r="812" ht="20.1" customHeight="1" spans="1:8">
      <c r="A812" s="5" t="str">
        <f t="shared" si="50"/>
        <v>221008</v>
      </c>
      <c r="B812" s="5" t="str">
        <f>"2022112730"</f>
        <v>2022112730</v>
      </c>
      <c r="C812" s="5" t="str">
        <f t="shared" si="48"/>
        <v>27</v>
      </c>
      <c r="D812" s="5" t="str">
        <f>"30"</f>
        <v>30</v>
      </c>
      <c r="E812" s="6">
        <v>103.5</v>
      </c>
      <c r="F812" s="6">
        <v>113.1</v>
      </c>
      <c r="G812" s="6">
        <v>72.2</v>
      </c>
      <c r="H812" s="6" t="s">
        <v>9</v>
      </c>
    </row>
    <row r="813" ht="20.1" customHeight="1" spans="1:8">
      <c r="A813" s="5" t="str">
        <f t="shared" si="50"/>
        <v>221008</v>
      </c>
      <c r="B813" s="5" t="str">
        <f>"2022112801"</f>
        <v>2022112801</v>
      </c>
      <c r="C813" s="5" t="str">
        <f t="shared" ref="C813:C842" si="51">"28"</f>
        <v>28</v>
      </c>
      <c r="D813" s="5" t="str">
        <f>"01"</f>
        <v>01</v>
      </c>
      <c r="E813" s="6">
        <v>0</v>
      </c>
      <c r="F813" s="6">
        <v>0</v>
      </c>
      <c r="G813" s="6">
        <v>0</v>
      </c>
      <c r="H813" s="6" t="s">
        <v>10</v>
      </c>
    </row>
    <row r="814" ht="20.1" customHeight="1" spans="1:8">
      <c r="A814" s="5" t="str">
        <f t="shared" si="50"/>
        <v>221008</v>
      </c>
      <c r="B814" s="5" t="str">
        <f>"2022112802"</f>
        <v>2022112802</v>
      </c>
      <c r="C814" s="5" t="str">
        <f t="shared" si="51"/>
        <v>28</v>
      </c>
      <c r="D814" s="5" t="str">
        <f>"02"</f>
        <v>02</v>
      </c>
      <c r="E814" s="6">
        <v>111</v>
      </c>
      <c r="F814" s="6">
        <v>102.3</v>
      </c>
      <c r="G814" s="6">
        <v>71.1</v>
      </c>
      <c r="H814" s="6" t="s">
        <v>9</v>
      </c>
    </row>
    <row r="815" ht="20.1" customHeight="1" spans="1:8">
      <c r="A815" s="5" t="str">
        <f t="shared" si="50"/>
        <v>221008</v>
      </c>
      <c r="B815" s="5" t="str">
        <f>"2022112803"</f>
        <v>2022112803</v>
      </c>
      <c r="C815" s="5" t="str">
        <f t="shared" si="51"/>
        <v>28</v>
      </c>
      <c r="D815" s="5" t="str">
        <f>"03"</f>
        <v>03</v>
      </c>
      <c r="E815" s="6">
        <v>118.5</v>
      </c>
      <c r="F815" s="6">
        <v>113.7</v>
      </c>
      <c r="G815" s="6">
        <v>77.4</v>
      </c>
      <c r="H815" s="6" t="s">
        <v>9</v>
      </c>
    </row>
    <row r="816" ht="20.1" customHeight="1" spans="1:8">
      <c r="A816" s="5" t="str">
        <f t="shared" si="50"/>
        <v>221008</v>
      </c>
      <c r="B816" s="5" t="str">
        <f>"2022112804"</f>
        <v>2022112804</v>
      </c>
      <c r="C816" s="5" t="str">
        <f t="shared" si="51"/>
        <v>28</v>
      </c>
      <c r="D816" s="5" t="str">
        <f>"04"</f>
        <v>04</v>
      </c>
      <c r="E816" s="6">
        <v>111</v>
      </c>
      <c r="F816" s="6">
        <v>113.6</v>
      </c>
      <c r="G816" s="6">
        <v>74.8666666666667</v>
      </c>
      <c r="H816" s="6" t="s">
        <v>9</v>
      </c>
    </row>
    <row r="817" ht="20.1" customHeight="1" spans="1:8">
      <c r="A817" s="5" t="str">
        <f t="shared" si="50"/>
        <v>221008</v>
      </c>
      <c r="B817" s="5" t="str">
        <f>"2022112805"</f>
        <v>2022112805</v>
      </c>
      <c r="C817" s="5" t="str">
        <f t="shared" si="51"/>
        <v>28</v>
      </c>
      <c r="D817" s="5" t="str">
        <f>"05"</f>
        <v>05</v>
      </c>
      <c r="E817" s="6">
        <v>0</v>
      </c>
      <c r="F817" s="6">
        <v>0</v>
      </c>
      <c r="G817" s="6">
        <v>0</v>
      </c>
      <c r="H817" s="6" t="s">
        <v>10</v>
      </c>
    </row>
    <row r="818" ht="20.1" customHeight="1" spans="1:8">
      <c r="A818" s="5" t="str">
        <f t="shared" si="50"/>
        <v>221008</v>
      </c>
      <c r="B818" s="5" t="str">
        <f>"2022112806"</f>
        <v>2022112806</v>
      </c>
      <c r="C818" s="5" t="str">
        <f t="shared" si="51"/>
        <v>28</v>
      </c>
      <c r="D818" s="5" t="str">
        <f>"06"</f>
        <v>06</v>
      </c>
      <c r="E818" s="6">
        <v>0</v>
      </c>
      <c r="F818" s="6">
        <v>0</v>
      </c>
      <c r="G818" s="6">
        <v>0</v>
      </c>
      <c r="H818" s="6" t="s">
        <v>10</v>
      </c>
    </row>
    <row r="819" ht="20.1" customHeight="1" spans="1:8">
      <c r="A819" s="5" t="str">
        <f t="shared" si="50"/>
        <v>221008</v>
      </c>
      <c r="B819" s="5" t="str">
        <f>"2022112807"</f>
        <v>2022112807</v>
      </c>
      <c r="C819" s="5" t="str">
        <f t="shared" si="51"/>
        <v>28</v>
      </c>
      <c r="D819" s="5" t="str">
        <f>"07"</f>
        <v>07</v>
      </c>
      <c r="E819" s="6">
        <v>114</v>
      </c>
      <c r="F819" s="6">
        <v>107</v>
      </c>
      <c r="G819" s="6">
        <v>73.6666666666667</v>
      </c>
      <c r="H819" s="6" t="s">
        <v>9</v>
      </c>
    </row>
    <row r="820" ht="20.1" customHeight="1" spans="1:8">
      <c r="A820" s="5" t="str">
        <f t="shared" si="50"/>
        <v>221008</v>
      </c>
      <c r="B820" s="5" t="str">
        <f>"2022112808"</f>
        <v>2022112808</v>
      </c>
      <c r="C820" s="5" t="str">
        <f t="shared" si="51"/>
        <v>28</v>
      </c>
      <c r="D820" s="5" t="str">
        <f>"08"</f>
        <v>08</v>
      </c>
      <c r="E820" s="6">
        <v>0</v>
      </c>
      <c r="F820" s="6">
        <v>0</v>
      </c>
      <c r="G820" s="6">
        <v>0</v>
      </c>
      <c r="H820" s="6" t="s">
        <v>10</v>
      </c>
    </row>
    <row r="821" ht="20.1" customHeight="1" spans="1:8">
      <c r="A821" s="5" t="str">
        <f t="shared" si="50"/>
        <v>221008</v>
      </c>
      <c r="B821" s="5" t="str">
        <f>"2022112809"</f>
        <v>2022112809</v>
      </c>
      <c r="C821" s="5" t="str">
        <f t="shared" si="51"/>
        <v>28</v>
      </c>
      <c r="D821" s="5" t="str">
        <f>"09"</f>
        <v>09</v>
      </c>
      <c r="E821" s="6">
        <v>0</v>
      </c>
      <c r="F821" s="6">
        <v>0</v>
      </c>
      <c r="G821" s="6">
        <v>0</v>
      </c>
      <c r="H821" s="6" t="s">
        <v>10</v>
      </c>
    </row>
    <row r="822" ht="20.1" customHeight="1" spans="1:8">
      <c r="A822" s="5" t="str">
        <f t="shared" si="50"/>
        <v>221008</v>
      </c>
      <c r="B822" s="5" t="str">
        <f>"2022112810"</f>
        <v>2022112810</v>
      </c>
      <c r="C822" s="5" t="str">
        <f t="shared" si="51"/>
        <v>28</v>
      </c>
      <c r="D822" s="5" t="str">
        <f>"10"</f>
        <v>10</v>
      </c>
      <c r="E822" s="6">
        <v>0</v>
      </c>
      <c r="F822" s="6">
        <v>0</v>
      </c>
      <c r="G822" s="6">
        <v>0</v>
      </c>
      <c r="H822" s="6" t="s">
        <v>10</v>
      </c>
    </row>
    <row r="823" ht="20.1" customHeight="1" spans="1:8">
      <c r="A823" s="5" t="str">
        <f t="shared" si="50"/>
        <v>221008</v>
      </c>
      <c r="B823" s="5" t="str">
        <f>"2022112811"</f>
        <v>2022112811</v>
      </c>
      <c r="C823" s="5" t="str">
        <f t="shared" si="51"/>
        <v>28</v>
      </c>
      <c r="D823" s="5" t="str">
        <f>"11"</f>
        <v>11</v>
      </c>
      <c r="E823" s="6">
        <v>0</v>
      </c>
      <c r="F823" s="6">
        <v>0</v>
      </c>
      <c r="G823" s="6">
        <v>0</v>
      </c>
      <c r="H823" s="6" t="s">
        <v>10</v>
      </c>
    </row>
    <row r="824" ht="20.1" customHeight="1" spans="1:8">
      <c r="A824" s="5" t="str">
        <f t="shared" si="50"/>
        <v>221008</v>
      </c>
      <c r="B824" s="5" t="str">
        <f>"2022112812"</f>
        <v>2022112812</v>
      </c>
      <c r="C824" s="5" t="str">
        <f t="shared" si="51"/>
        <v>28</v>
      </c>
      <c r="D824" s="5" t="str">
        <f>"12"</f>
        <v>12</v>
      </c>
      <c r="E824" s="6">
        <v>106.5</v>
      </c>
      <c r="F824" s="6">
        <v>88.2</v>
      </c>
      <c r="G824" s="6">
        <v>64.9</v>
      </c>
      <c r="H824" s="6" t="s">
        <v>9</v>
      </c>
    </row>
    <row r="825" ht="20.1" customHeight="1" spans="1:8">
      <c r="A825" s="5" t="str">
        <f t="shared" si="50"/>
        <v>221008</v>
      </c>
      <c r="B825" s="5" t="str">
        <f>"2022112813"</f>
        <v>2022112813</v>
      </c>
      <c r="C825" s="5" t="str">
        <f t="shared" si="51"/>
        <v>28</v>
      </c>
      <c r="D825" s="5" t="str">
        <f>"13"</f>
        <v>13</v>
      </c>
      <c r="E825" s="6">
        <v>0</v>
      </c>
      <c r="F825" s="6">
        <v>0</v>
      </c>
      <c r="G825" s="6">
        <v>0</v>
      </c>
      <c r="H825" s="6" t="s">
        <v>10</v>
      </c>
    </row>
    <row r="826" ht="20.1" customHeight="1" spans="1:8">
      <c r="A826" s="5" t="str">
        <f t="shared" si="50"/>
        <v>221008</v>
      </c>
      <c r="B826" s="5" t="str">
        <f>"2022112814"</f>
        <v>2022112814</v>
      </c>
      <c r="C826" s="5" t="str">
        <f t="shared" si="51"/>
        <v>28</v>
      </c>
      <c r="D826" s="5" t="str">
        <f>"14"</f>
        <v>14</v>
      </c>
      <c r="E826" s="6">
        <v>109.5</v>
      </c>
      <c r="F826" s="6">
        <v>110.9</v>
      </c>
      <c r="G826" s="6">
        <v>73.4666666666667</v>
      </c>
      <c r="H826" s="6" t="s">
        <v>9</v>
      </c>
    </row>
    <row r="827" ht="20.1" customHeight="1" spans="1:8">
      <c r="A827" s="5" t="str">
        <f t="shared" si="50"/>
        <v>221008</v>
      </c>
      <c r="B827" s="5" t="str">
        <f>"2022112815"</f>
        <v>2022112815</v>
      </c>
      <c r="C827" s="5" t="str">
        <f t="shared" si="51"/>
        <v>28</v>
      </c>
      <c r="D827" s="5" t="str">
        <f>"15"</f>
        <v>15</v>
      </c>
      <c r="E827" s="6">
        <v>124.5</v>
      </c>
      <c r="F827" s="6">
        <v>112.7</v>
      </c>
      <c r="G827" s="6">
        <v>79.0666666666667</v>
      </c>
      <c r="H827" s="6" t="s">
        <v>9</v>
      </c>
    </row>
    <row r="828" ht="20.1" customHeight="1" spans="1:8">
      <c r="A828" s="5" t="str">
        <f t="shared" si="50"/>
        <v>221008</v>
      </c>
      <c r="B828" s="5" t="str">
        <f>"2022112816"</f>
        <v>2022112816</v>
      </c>
      <c r="C828" s="5" t="str">
        <f t="shared" si="51"/>
        <v>28</v>
      </c>
      <c r="D828" s="5" t="str">
        <f>"16"</f>
        <v>16</v>
      </c>
      <c r="E828" s="6">
        <v>117</v>
      </c>
      <c r="F828" s="6">
        <v>110.7</v>
      </c>
      <c r="G828" s="6">
        <v>75.9</v>
      </c>
      <c r="H828" s="6" t="s">
        <v>9</v>
      </c>
    </row>
    <row r="829" ht="20.1" customHeight="1" spans="1:8">
      <c r="A829" s="5" t="str">
        <f t="shared" si="50"/>
        <v>221008</v>
      </c>
      <c r="B829" s="5" t="str">
        <f>"2022112817"</f>
        <v>2022112817</v>
      </c>
      <c r="C829" s="5" t="str">
        <f t="shared" si="51"/>
        <v>28</v>
      </c>
      <c r="D829" s="5" t="str">
        <f>"17"</f>
        <v>17</v>
      </c>
      <c r="E829" s="6">
        <v>0</v>
      </c>
      <c r="F829" s="6">
        <v>0</v>
      </c>
      <c r="G829" s="6">
        <v>0</v>
      </c>
      <c r="H829" s="6" t="s">
        <v>10</v>
      </c>
    </row>
    <row r="830" ht="20.1" customHeight="1" spans="1:8">
      <c r="A830" s="5" t="str">
        <f t="shared" si="50"/>
        <v>221008</v>
      </c>
      <c r="B830" s="5" t="str">
        <f>"2022112818"</f>
        <v>2022112818</v>
      </c>
      <c r="C830" s="5" t="str">
        <f t="shared" si="51"/>
        <v>28</v>
      </c>
      <c r="D830" s="5" t="str">
        <f>"18"</f>
        <v>18</v>
      </c>
      <c r="E830" s="6">
        <v>127.5</v>
      </c>
      <c r="F830" s="6">
        <v>117.7</v>
      </c>
      <c r="G830" s="6">
        <v>81.7333333333333</v>
      </c>
      <c r="H830" s="6" t="s">
        <v>9</v>
      </c>
    </row>
    <row r="831" ht="20.1" customHeight="1" spans="1:8">
      <c r="A831" s="5" t="str">
        <f t="shared" si="50"/>
        <v>221008</v>
      </c>
      <c r="B831" s="5" t="str">
        <f>"2022112819"</f>
        <v>2022112819</v>
      </c>
      <c r="C831" s="5" t="str">
        <f t="shared" si="51"/>
        <v>28</v>
      </c>
      <c r="D831" s="5" t="str">
        <f>"19"</f>
        <v>19</v>
      </c>
      <c r="E831" s="6">
        <v>112.5</v>
      </c>
      <c r="F831" s="6">
        <v>110.1</v>
      </c>
      <c r="G831" s="6">
        <v>74.2</v>
      </c>
      <c r="H831" s="6" t="s">
        <v>9</v>
      </c>
    </row>
    <row r="832" ht="20.1" customHeight="1" spans="1:8">
      <c r="A832" s="5" t="str">
        <f t="shared" si="50"/>
        <v>221008</v>
      </c>
      <c r="B832" s="5" t="str">
        <f>"2022112820"</f>
        <v>2022112820</v>
      </c>
      <c r="C832" s="5" t="str">
        <f t="shared" si="51"/>
        <v>28</v>
      </c>
      <c r="D832" s="5" t="str">
        <f>"20"</f>
        <v>20</v>
      </c>
      <c r="E832" s="6">
        <v>111</v>
      </c>
      <c r="F832" s="6">
        <v>109.9</v>
      </c>
      <c r="G832" s="6">
        <v>73.6333333333333</v>
      </c>
      <c r="H832" s="6" t="s">
        <v>9</v>
      </c>
    </row>
    <row r="833" ht="20.1" customHeight="1" spans="1:8">
      <c r="A833" s="5" t="str">
        <f t="shared" si="50"/>
        <v>221008</v>
      </c>
      <c r="B833" s="5" t="str">
        <f>"2022112821"</f>
        <v>2022112821</v>
      </c>
      <c r="C833" s="5" t="str">
        <f t="shared" si="51"/>
        <v>28</v>
      </c>
      <c r="D833" s="5" t="str">
        <f>"21"</f>
        <v>21</v>
      </c>
      <c r="E833" s="6">
        <v>0</v>
      </c>
      <c r="F833" s="6">
        <v>0</v>
      </c>
      <c r="G833" s="6">
        <v>0</v>
      </c>
      <c r="H833" s="6" t="s">
        <v>10</v>
      </c>
    </row>
    <row r="834" ht="20.1" customHeight="1" spans="1:8">
      <c r="A834" s="5" t="str">
        <f t="shared" si="50"/>
        <v>221008</v>
      </c>
      <c r="B834" s="5" t="str">
        <f>"2022112822"</f>
        <v>2022112822</v>
      </c>
      <c r="C834" s="5" t="str">
        <f t="shared" si="51"/>
        <v>28</v>
      </c>
      <c r="D834" s="5" t="str">
        <f>"22"</f>
        <v>22</v>
      </c>
      <c r="E834" s="6">
        <v>0</v>
      </c>
      <c r="F834" s="6">
        <v>0</v>
      </c>
      <c r="G834" s="6">
        <v>0</v>
      </c>
      <c r="H834" s="6" t="s">
        <v>10</v>
      </c>
    </row>
    <row r="835" ht="20.1" customHeight="1" spans="1:8">
      <c r="A835" s="5" t="str">
        <f t="shared" si="50"/>
        <v>221008</v>
      </c>
      <c r="B835" s="5" t="str">
        <f>"2022112823"</f>
        <v>2022112823</v>
      </c>
      <c r="C835" s="5" t="str">
        <f t="shared" si="51"/>
        <v>28</v>
      </c>
      <c r="D835" s="5" t="str">
        <f>"23"</f>
        <v>23</v>
      </c>
      <c r="E835" s="6">
        <v>0</v>
      </c>
      <c r="F835" s="6">
        <v>0</v>
      </c>
      <c r="G835" s="6">
        <v>0</v>
      </c>
      <c r="H835" s="6" t="s">
        <v>10</v>
      </c>
    </row>
    <row r="836" ht="20.1" customHeight="1" spans="1:8">
      <c r="A836" s="5" t="str">
        <f t="shared" ref="A836:A867" si="52">"221008"</f>
        <v>221008</v>
      </c>
      <c r="B836" s="5" t="str">
        <f>"2022112824"</f>
        <v>2022112824</v>
      </c>
      <c r="C836" s="5" t="str">
        <f t="shared" si="51"/>
        <v>28</v>
      </c>
      <c r="D836" s="5" t="str">
        <f>"24"</f>
        <v>24</v>
      </c>
      <c r="E836" s="6">
        <v>0</v>
      </c>
      <c r="F836" s="6">
        <v>0</v>
      </c>
      <c r="G836" s="6">
        <v>0</v>
      </c>
      <c r="H836" s="6" t="s">
        <v>10</v>
      </c>
    </row>
    <row r="837" ht="20.1" customHeight="1" spans="1:8">
      <c r="A837" s="5" t="str">
        <f t="shared" si="52"/>
        <v>221008</v>
      </c>
      <c r="B837" s="5" t="str">
        <f>"2022112825"</f>
        <v>2022112825</v>
      </c>
      <c r="C837" s="5" t="str">
        <f t="shared" si="51"/>
        <v>28</v>
      </c>
      <c r="D837" s="5" t="str">
        <f>"25"</f>
        <v>25</v>
      </c>
      <c r="E837" s="6">
        <v>117</v>
      </c>
      <c r="F837" s="6">
        <v>113.6</v>
      </c>
      <c r="G837" s="6">
        <v>76.8666666666667</v>
      </c>
      <c r="H837" s="6" t="s">
        <v>9</v>
      </c>
    </row>
    <row r="838" ht="20.1" customHeight="1" spans="1:8">
      <c r="A838" s="5" t="str">
        <f t="shared" si="52"/>
        <v>221008</v>
      </c>
      <c r="B838" s="5" t="str">
        <f>"2022112826"</f>
        <v>2022112826</v>
      </c>
      <c r="C838" s="5" t="str">
        <f t="shared" si="51"/>
        <v>28</v>
      </c>
      <c r="D838" s="5" t="str">
        <f>"26"</f>
        <v>26</v>
      </c>
      <c r="E838" s="6">
        <v>102</v>
      </c>
      <c r="F838" s="6">
        <v>88</v>
      </c>
      <c r="G838" s="6">
        <v>63.3333333333333</v>
      </c>
      <c r="H838" s="6" t="s">
        <v>9</v>
      </c>
    </row>
    <row r="839" ht="20.1" customHeight="1" spans="1:8">
      <c r="A839" s="5" t="str">
        <f t="shared" si="52"/>
        <v>221008</v>
      </c>
      <c r="B839" s="5" t="str">
        <f>"2022112827"</f>
        <v>2022112827</v>
      </c>
      <c r="C839" s="5" t="str">
        <f t="shared" si="51"/>
        <v>28</v>
      </c>
      <c r="D839" s="5" t="str">
        <f>"27"</f>
        <v>27</v>
      </c>
      <c r="E839" s="6">
        <v>114</v>
      </c>
      <c r="F839" s="6">
        <v>114.7</v>
      </c>
      <c r="G839" s="6">
        <v>76.2333333333333</v>
      </c>
      <c r="H839" s="6" t="s">
        <v>9</v>
      </c>
    </row>
    <row r="840" ht="20.1" customHeight="1" spans="1:8">
      <c r="A840" s="5" t="str">
        <f t="shared" si="52"/>
        <v>221008</v>
      </c>
      <c r="B840" s="5" t="str">
        <f>"2022112828"</f>
        <v>2022112828</v>
      </c>
      <c r="C840" s="5" t="str">
        <f t="shared" si="51"/>
        <v>28</v>
      </c>
      <c r="D840" s="5" t="str">
        <f>"28"</f>
        <v>28</v>
      </c>
      <c r="E840" s="6">
        <v>120</v>
      </c>
      <c r="F840" s="6">
        <v>105.3</v>
      </c>
      <c r="G840" s="6">
        <v>75.1</v>
      </c>
      <c r="H840" s="6" t="s">
        <v>9</v>
      </c>
    </row>
    <row r="841" ht="20.1" customHeight="1" spans="1:8">
      <c r="A841" s="5" t="str">
        <f t="shared" si="52"/>
        <v>221008</v>
      </c>
      <c r="B841" s="5" t="str">
        <f>"2022112829"</f>
        <v>2022112829</v>
      </c>
      <c r="C841" s="5" t="str">
        <f t="shared" si="51"/>
        <v>28</v>
      </c>
      <c r="D841" s="5" t="str">
        <f>"29"</f>
        <v>29</v>
      </c>
      <c r="E841" s="6">
        <v>114</v>
      </c>
      <c r="F841" s="6">
        <v>105.9</v>
      </c>
      <c r="G841" s="6">
        <v>73.3</v>
      </c>
      <c r="H841" s="6" t="s">
        <v>9</v>
      </c>
    </row>
    <row r="842" ht="20.1" customHeight="1" spans="1:8">
      <c r="A842" s="5" t="str">
        <f t="shared" si="52"/>
        <v>221008</v>
      </c>
      <c r="B842" s="5" t="str">
        <f>"2022112830"</f>
        <v>2022112830</v>
      </c>
      <c r="C842" s="5" t="str">
        <f t="shared" si="51"/>
        <v>28</v>
      </c>
      <c r="D842" s="5" t="str">
        <f>"30"</f>
        <v>30</v>
      </c>
      <c r="E842" s="6">
        <v>0</v>
      </c>
      <c r="F842" s="6">
        <v>0</v>
      </c>
      <c r="G842" s="6">
        <v>0</v>
      </c>
      <c r="H842" s="6" t="s">
        <v>10</v>
      </c>
    </row>
    <row r="843" ht="20.1" customHeight="1" spans="1:8">
      <c r="A843" s="5" t="str">
        <f t="shared" si="52"/>
        <v>221008</v>
      </c>
      <c r="B843" s="5" t="str">
        <f>"2022112901"</f>
        <v>2022112901</v>
      </c>
      <c r="C843" s="5" t="str">
        <f t="shared" ref="C843:C872" si="53">"29"</f>
        <v>29</v>
      </c>
      <c r="D843" s="5" t="str">
        <f>"01"</f>
        <v>01</v>
      </c>
      <c r="E843" s="6">
        <v>0</v>
      </c>
      <c r="F843" s="6">
        <v>0</v>
      </c>
      <c r="G843" s="6">
        <v>0</v>
      </c>
      <c r="H843" s="6" t="s">
        <v>10</v>
      </c>
    </row>
    <row r="844" ht="20.1" customHeight="1" spans="1:8">
      <c r="A844" s="5" t="str">
        <f t="shared" si="52"/>
        <v>221008</v>
      </c>
      <c r="B844" s="5" t="str">
        <f>"2022112902"</f>
        <v>2022112902</v>
      </c>
      <c r="C844" s="5" t="str">
        <f t="shared" si="53"/>
        <v>29</v>
      </c>
      <c r="D844" s="5" t="str">
        <f>"02"</f>
        <v>02</v>
      </c>
      <c r="E844" s="6">
        <v>123</v>
      </c>
      <c r="F844" s="6">
        <v>108.4</v>
      </c>
      <c r="G844" s="6">
        <v>77.1333333333333</v>
      </c>
      <c r="H844" s="6" t="s">
        <v>9</v>
      </c>
    </row>
    <row r="845" ht="20.1" customHeight="1" spans="1:8">
      <c r="A845" s="5" t="str">
        <f t="shared" si="52"/>
        <v>221008</v>
      </c>
      <c r="B845" s="5" t="str">
        <f>"2022112903"</f>
        <v>2022112903</v>
      </c>
      <c r="C845" s="5" t="str">
        <f t="shared" si="53"/>
        <v>29</v>
      </c>
      <c r="D845" s="5" t="str">
        <f>"03"</f>
        <v>03</v>
      </c>
      <c r="E845" s="6">
        <v>133.5</v>
      </c>
      <c r="F845" s="6">
        <v>114.1</v>
      </c>
      <c r="G845" s="6">
        <v>82.5333333333333</v>
      </c>
      <c r="H845" s="7" t="s">
        <v>11</v>
      </c>
    </row>
    <row r="846" ht="20.1" customHeight="1" spans="1:8">
      <c r="A846" s="5" t="str">
        <f t="shared" si="52"/>
        <v>221008</v>
      </c>
      <c r="B846" s="5" t="str">
        <f>"2022112904"</f>
        <v>2022112904</v>
      </c>
      <c r="C846" s="5" t="str">
        <f t="shared" si="53"/>
        <v>29</v>
      </c>
      <c r="D846" s="5" t="str">
        <f>"04"</f>
        <v>04</v>
      </c>
      <c r="E846" s="6">
        <v>129</v>
      </c>
      <c r="F846" s="6">
        <v>93.3</v>
      </c>
      <c r="G846" s="6">
        <v>74.1</v>
      </c>
      <c r="H846" s="6" t="s">
        <v>9</v>
      </c>
    </row>
    <row r="847" ht="20.1" customHeight="1" spans="1:8">
      <c r="A847" s="5" t="str">
        <f t="shared" si="52"/>
        <v>221008</v>
      </c>
      <c r="B847" s="5" t="str">
        <f>"2022112905"</f>
        <v>2022112905</v>
      </c>
      <c r="C847" s="5" t="str">
        <f t="shared" si="53"/>
        <v>29</v>
      </c>
      <c r="D847" s="5" t="str">
        <f>"05"</f>
        <v>05</v>
      </c>
      <c r="E847" s="6">
        <v>124.5</v>
      </c>
      <c r="F847" s="6">
        <v>116</v>
      </c>
      <c r="G847" s="6">
        <v>80.1666666666667</v>
      </c>
      <c r="H847" s="6" t="s">
        <v>9</v>
      </c>
    </row>
    <row r="848" ht="20.1" customHeight="1" spans="1:8">
      <c r="A848" s="5" t="str">
        <f t="shared" si="52"/>
        <v>221008</v>
      </c>
      <c r="B848" s="5" t="str">
        <f>"2022112906"</f>
        <v>2022112906</v>
      </c>
      <c r="C848" s="5" t="str">
        <f t="shared" si="53"/>
        <v>29</v>
      </c>
      <c r="D848" s="5" t="str">
        <f>"06"</f>
        <v>06</v>
      </c>
      <c r="E848" s="6">
        <v>0</v>
      </c>
      <c r="F848" s="6">
        <v>0</v>
      </c>
      <c r="G848" s="6">
        <v>0</v>
      </c>
      <c r="H848" s="6" t="s">
        <v>10</v>
      </c>
    </row>
    <row r="849" ht="20.1" customHeight="1" spans="1:8">
      <c r="A849" s="5" t="str">
        <f t="shared" si="52"/>
        <v>221008</v>
      </c>
      <c r="B849" s="5" t="str">
        <f>"2022112907"</f>
        <v>2022112907</v>
      </c>
      <c r="C849" s="5" t="str">
        <f t="shared" si="53"/>
        <v>29</v>
      </c>
      <c r="D849" s="5" t="str">
        <f>"07"</f>
        <v>07</v>
      </c>
      <c r="E849" s="6">
        <v>118.5</v>
      </c>
      <c r="F849" s="6">
        <v>107.6</v>
      </c>
      <c r="G849" s="6">
        <v>75.3666666666667</v>
      </c>
      <c r="H849" s="6" t="s">
        <v>9</v>
      </c>
    </row>
    <row r="850" ht="20.1" customHeight="1" spans="1:8">
      <c r="A850" s="5" t="str">
        <f t="shared" si="52"/>
        <v>221008</v>
      </c>
      <c r="B850" s="5" t="str">
        <f>"2022112908"</f>
        <v>2022112908</v>
      </c>
      <c r="C850" s="5" t="str">
        <f t="shared" si="53"/>
        <v>29</v>
      </c>
      <c r="D850" s="5" t="str">
        <f>"08"</f>
        <v>08</v>
      </c>
      <c r="E850" s="6">
        <v>0</v>
      </c>
      <c r="F850" s="6">
        <v>0</v>
      </c>
      <c r="G850" s="6">
        <v>0</v>
      </c>
      <c r="H850" s="6" t="s">
        <v>10</v>
      </c>
    </row>
    <row r="851" ht="20.1" customHeight="1" spans="1:8">
      <c r="A851" s="5" t="str">
        <f t="shared" si="52"/>
        <v>221008</v>
      </c>
      <c r="B851" s="5" t="str">
        <f>"2022112909"</f>
        <v>2022112909</v>
      </c>
      <c r="C851" s="5" t="str">
        <f t="shared" si="53"/>
        <v>29</v>
      </c>
      <c r="D851" s="5" t="str">
        <f>"09"</f>
        <v>09</v>
      </c>
      <c r="E851" s="6">
        <v>0</v>
      </c>
      <c r="F851" s="6">
        <v>0</v>
      </c>
      <c r="G851" s="6">
        <v>0</v>
      </c>
      <c r="H851" s="6" t="s">
        <v>10</v>
      </c>
    </row>
    <row r="852" ht="20.1" customHeight="1" spans="1:8">
      <c r="A852" s="5" t="str">
        <f t="shared" si="52"/>
        <v>221008</v>
      </c>
      <c r="B852" s="5" t="str">
        <f>"2022112910"</f>
        <v>2022112910</v>
      </c>
      <c r="C852" s="5" t="str">
        <f t="shared" si="53"/>
        <v>29</v>
      </c>
      <c r="D852" s="5" t="str">
        <f>"10"</f>
        <v>10</v>
      </c>
      <c r="E852" s="6">
        <v>121.5</v>
      </c>
      <c r="F852" s="6">
        <v>114.9</v>
      </c>
      <c r="G852" s="6">
        <v>78.8</v>
      </c>
      <c r="H852" s="6" t="s">
        <v>9</v>
      </c>
    </row>
    <row r="853" ht="20.1" customHeight="1" spans="1:8">
      <c r="A853" s="5" t="str">
        <f t="shared" si="52"/>
        <v>221008</v>
      </c>
      <c r="B853" s="5" t="str">
        <f>"2022112911"</f>
        <v>2022112911</v>
      </c>
      <c r="C853" s="5" t="str">
        <f t="shared" si="53"/>
        <v>29</v>
      </c>
      <c r="D853" s="5" t="str">
        <f>"11"</f>
        <v>11</v>
      </c>
      <c r="E853" s="6">
        <v>93</v>
      </c>
      <c r="F853" s="6">
        <v>115.8</v>
      </c>
      <c r="G853" s="6">
        <v>69.6</v>
      </c>
      <c r="H853" s="6" t="s">
        <v>9</v>
      </c>
    </row>
    <row r="854" ht="20.1" customHeight="1" spans="1:8">
      <c r="A854" s="5" t="str">
        <f t="shared" si="52"/>
        <v>221008</v>
      </c>
      <c r="B854" s="5" t="str">
        <f>"2022112912"</f>
        <v>2022112912</v>
      </c>
      <c r="C854" s="5" t="str">
        <f t="shared" si="53"/>
        <v>29</v>
      </c>
      <c r="D854" s="5" t="str">
        <f>"12"</f>
        <v>12</v>
      </c>
      <c r="E854" s="6">
        <v>108</v>
      </c>
      <c r="F854" s="6">
        <v>99.8</v>
      </c>
      <c r="G854" s="6">
        <v>69.2666666666667</v>
      </c>
      <c r="H854" s="6" t="s">
        <v>9</v>
      </c>
    </row>
    <row r="855" ht="20.1" customHeight="1" spans="1:8">
      <c r="A855" s="5" t="str">
        <f t="shared" si="52"/>
        <v>221008</v>
      </c>
      <c r="B855" s="5" t="str">
        <f>"2022112913"</f>
        <v>2022112913</v>
      </c>
      <c r="C855" s="5" t="str">
        <f t="shared" si="53"/>
        <v>29</v>
      </c>
      <c r="D855" s="5" t="str">
        <f>"13"</f>
        <v>13</v>
      </c>
      <c r="E855" s="6">
        <v>0</v>
      </c>
      <c r="F855" s="6">
        <v>0</v>
      </c>
      <c r="G855" s="6">
        <v>0</v>
      </c>
      <c r="H855" s="6" t="s">
        <v>10</v>
      </c>
    </row>
    <row r="856" ht="20.1" customHeight="1" spans="1:8">
      <c r="A856" s="5" t="str">
        <f t="shared" si="52"/>
        <v>221008</v>
      </c>
      <c r="B856" s="5" t="str">
        <f>"2022112914"</f>
        <v>2022112914</v>
      </c>
      <c r="C856" s="5" t="str">
        <f t="shared" si="53"/>
        <v>29</v>
      </c>
      <c r="D856" s="5" t="str">
        <f>"14"</f>
        <v>14</v>
      </c>
      <c r="E856" s="6">
        <v>0</v>
      </c>
      <c r="F856" s="6">
        <v>0</v>
      </c>
      <c r="G856" s="6">
        <v>0</v>
      </c>
      <c r="H856" s="6" t="s">
        <v>10</v>
      </c>
    </row>
    <row r="857" ht="20.1" customHeight="1" spans="1:8">
      <c r="A857" s="5" t="str">
        <f t="shared" si="52"/>
        <v>221008</v>
      </c>
      <c r="B857" s="5" t="str">
        <f>"2022112915"</f>
        <v>2022112915</v>
      </c>
      <c r="C857" s="5" t="str">
        <f t="shared" si="53"/>
        <v>29</v>
      </c>
      <c r="D857" s="5" t="str">
        <f>"15"</f>
        <v>15</v>
      </c>
      <c r="E857" s="6">
        <v>121.5</v>
      </c>
      <c r="F857" s="6">
        <v>110.9</v>
      </c>
      <c r="G857" s="6">
        <v>77.4666666666667</v>
      </c>
      <c r="H857" s="6" t="s">
        <v>9</v>
      </c>
    </row>
    <row r="858" ht="20.1" customHeight="1" spans="1:8">
      <c r="A858" s="5" t="str">
        <f t="shared" si="52"/>
        <v>221008</v>
      </c>
      <c r="B858" s="5" t="str">
        <f>"2022112916"</f>
        <v>2022112916</v>
      </c>
      <c r="C858" s="5" t="str">
        <f t="shared" si="53"/>
        <v>29</v>
      </c>
      <c r="D858" s="5" t="str">
        <f>"16"</f>
        <v>16</v>
      </c>
      <c r="E858" s="6">
        <v>108</v>
      </c>
      <c r="F858" s="6">
        <v>112.9</v>
      </c>
      <c r="G858" s="6">
        <v>73.6333333333333</v>
      </c>
      <c r="H858" s="6" t="s">
        <v>9</v>
      </c>
    </row>
    <row r="859" ht="20.1" customHeight="1" spans="1:8">
      <c r="A859" s="5" t="str">
        <f t="shared" si="52"/>
        <v>221008</v>
      </c>
      <c r="B859" s="5" t="str">
        <f>"2022112917"</f>
        <v>2022112917</v>
      </c>
      <c r="C859" s="5" t="str">
        <f t="shared" si="53"/>
        <v>29</v>
      </c>
      <c r="D859" s="5" t="str">
        <f>"17"</f>
        <v>17</v>
      </c>
      <c r="E859" s="6">
        <v>0</v>
      </c>
      <c r="F859" s="6">
        <v>0</v>
      </c>
      <c r="G859" s="6">
        <v>0</v>
      </c>
      <c r="H859" s="6" t="s">
        <v>10</v>
      </c>
    </row>
    <row r="860" ht="20.1" customHeight="1" spans="1:8">
      <c r="A860" s="5" t="str">
        <f t="shared" si="52"/>
        <v>221008</v>
      </c>
      <c r="B860" s="5" t="str">
        <f>"2022112918"</f>
        <v>2022112918</v>
      </c>
      <c r="C860" s="5" t="str">
        <f t="shared" si="53"/>
        <v>29</v>
      </c>
      <c r="D860" s="5" t="str">
        <f>"18"</f>
        <v>18</v>
      </c>
      <c r="E860" s="6">
        <v>96</v>
      </c>
      <c r="F860" s="6">
        <v>110.4</v>
      </c>
      <c r="G860" s="6">
        <v>68.8</v>
      </c>
      <c r="H860" s="6" t="s">
        <v>9</v>
      </c>
    </row>
    <row r="861" ht="20.1" customHeight="1" spans="1:8">
      <c r="A861" s="5" t="str">
        <f t="shared" si="52"/>
        <v>221008</v>
      </c>
      <c r="B861" s="5" t="str">
        <f>"2022112919"</f>
        <v>2022112919</v>
      </c>
      <c r="C861" s="5" t="str">
        <f t="shared" si="53"/>
        <v>29</v>
      </c>
      <c r="D861" s="5" t="str">
        <f>"19"</f>
        <v>19</v>
      </c>
      <c r="E861" s="6">
        <v>0</v>
      </c>
      <c r="F861" s="6">
        <v>0</v>
      </c>
      <c r="G861" s="6">
        <v>0</v>
      </c>
      <c r="H861" s="6" t="s">
        <v>10</v>
      </c>
    </row>
    <row r="862" ht="20.1" customHeight="1" spans="1:8">
      <c r="A862" s="5" t="str">
        <f t="shared" si="52"/>
        <v>221008</v>
      </c>
      <c r="B862" s="5" t="str">
        <f>"2022112920"</f>
        <v>2022112920</v>
      </c>
      <c r="C862" s="5" t="str">
        <f t="shared" si="53"/>
        <v>29</v>
      </c>
      <c r="D862" s="5" t="str">
        <f>"20"</f>
        <v>20</v>
      </c>
      <c r="E862" s="6">
        <v>121.5</v>
      </c>
      <c r="F862" s="6">
        <v>104.3</v>
      </c>
      <c r="G862" s="6">
        <v>75.2666666666667</v>
      </c>
      <c r="H862" s="6" t="s">
        <v>9</v>
      </c>
    </row>
    <row r="863" ht="20.1" customHeight="1" spans="1:8">
      <c r="A863" s="5" t="str">
        <f t="shared" si="52"/>
        <v>221008</v>
      </c>
      <c r="B863" s="5" t="str">
        <f>"2022112921"</f>
        <v>2022112921</v>
      </c>
      <c r="C863" s="5" t="str">
        <f t="shared" si="53"/>
        <v>29</v>
      </c>
      <c r="D863" s="5" t="str">
        <f>"21"</f>
        <v>21</v>
      </c>
      <c r="E863" s="6">
        <v>99</v>
      </c>
      <c r="F863" s="6">
        <v>109.9</v>
      </c>
      <c r="G863" s="6">
        <v>69.6333333333333</v>
      </c>
      <c r="H863" s="6" t="s">
        <v>9</v>
      </c>
    </row>
    <row r="864" ht="20.1" customHeight="1" spans="1:8">
      <c r="A864" s="5" t="str">
        <f t="shared" si="52"/>
        <v>221008</v>
      </c>
      <c r="B864" s="5" t="str">
        <f>"2022112922"</f>
        <v>2022112922</v>
      </c>
      <c r="C864" s="5" t="str">
        <f t="shared" si="53"/>
        <v>29</v>
      </c>
      <c r="D864" s="5" t="str">
        <f>"22"</f>
        <v>22</v>
      </c>
      <c r="E864" s="6">
        <v>0</v>
      </c>
      <c r="F864" s="6">
        <v>0</v>
      </c>
      <c r="G864" s="6">
        <v>0</v>
      </c>
      <c r="H864" s="6" t="s">
        <v>10</v>
      </c>
    </row>
    <row r="865" ht="20.1" customHeight="1" spans="1:8">
      <c r="A865" s="5" t="str">
        <f t="shared" si="52"/>
        <v>221008</v>
      </c>
      <c r="B865" s="5" t="str">
        <f>"2022112923"</f>
        <v>2022112923</v>
      </c>
      <c r="C865" s="5" t="str">
        <f t="shared" si="53"/>
        <v>29</v>
      </c>
      <c r="D865" s="5" t="str">
        <f>"23"</f>
        <v>23</v>
      </c>
      <c r="E865" s="6">
        <v>108</v>
      </c>
      <c r="F865" s="6">
        <v>109.9</v>
      </c>
      <c r="G865" s="6">
        <v>72.6333333333333</v>
      </c>
      <c r="H865" s="6" t="s">
        <v>9</v>
      </c>
    </row>
    <row r="866" ht="20.1" customHeight="1" spans="1:8">
      <c r="A866" s="5" t="str">
        <f t="shared" si="52"/>
        <v>221008</v>
      </c>
      <c r="B866" s="5" t="str">
        <f>"2022112924"</f>
        <v>2022112924</v>
      </c>
      <c r="C866" s="5" t="str">
        <f t="shared" si="53"/>
        <v>29</v>
      </c>
      <c r="D866" s="5" t="str">
        <f>"24"</f>
        <v>24</v>
      </c>
      <c r="E866" s="6">
        <v>114</v>
      </c>
      <c r="F866" s="6">
        <v>107.2</v>
      </c>
      <c r="G866" s="6">
        <v>73.7333333333333</v>
      </c>
      <c r="H866" s="6" t="s">
        <v>9</v>
      </c>
    </row>
    <row r="867" ht="20.1" customHeight="1" spans="1:8">
      <c r="A867" s="5" t="str">
        <f t="shared" si="52"/>
        <v>221008</v>
      </c>
      <c r="B867" s="5" t="str">
        <f>"2022112925"</f>
        <v>2022112925</v>
      </c>
      <c r="C867" s="5" t="str">
        <f t="shared" si="53"/>
        <v>29</v>
      </c>
      <c r="D867" s="5" t="str">
        <f>"25"</f>
        <v>25</v>
      </c>
      <c r="E867" s="6">
        <v>0</v>
      </c>
      <c r="F867" s="6">
        <v>0</v>
      </c>
      <c r="G867" s="6">
        <v>0</v>
      </c>
      <c r="H867" s="6" t="s">
        <v>10</v>
      </c>
    </row>
    <row r="868" ht="20.1" customHeight="1" spans="1:8">
      <c r="A868" s="5" t="str">
        <f t="shared" ref="A868:A899" si="54">"221008"</f>
        <v>221008</v>
      </c>
      <c r="B868" s="5" t="str">
        <f>"2022112926"</f>
        <v>2022112926</v>
      </c>
      <c r="C868" s="5" t="str">
        <f t="shared" si="53"/>
        <v>29</v>
      </c>
      <c r="D868" s="5" t="str">
        <f>"26"</f>
        <v>26</v>
      </c>
      <c r="E868" s="6">
        <v>0</v>
      </c>
      <c r="F868" s="6">
        <v>0</v>
      </c>
      <c r="G868" s="6">
        <v>0</v>
      </c>
      <c r="H868" s="6" t="s">
        <v>10</v>
      </c>
    </row>
    <row r="869" ht="20.1" customHeight="1" spans="1:8">
      <c r="A869" s="5" t="str">
        <f t="shared" si="54"/>
        <v>221008</v>
      </c>
      <c r="B869" s="5" t="str">
        <f>"2022112927"</f>
        <v>2022112927</v>
      </c>
      <c r="C869" s="5" t="str">
        <f t="shared" si="53"/>
        <v>29</v>
      </c>
      <c r="D869" s="5" t="str">
        <f>"27"</f>
        <v>27</v>
      </c>
      <c r="E869" s="6">
        <v>0</v>
      </c>
      <c r="F869" s="6">
        <v>0</v>
      </c>
      <c r="G869" s="6">
        <v>0</v>
      </c>
      <c r="H869" s="6" t="s">
        <v>10</v>
      </c>
    </row>
    <row r="870" ht="20.1" customHeight="1" spans="1:8">
      <c r="A870" s="5" t="str">
        <f t="shared" si="54"/>
        <v>221008</v>
      </c>
      <c r="B870" s="5" t="str">
        <f>"2022112928"</f>
        <v>2022112928</v>
      </c>
      <c r="C870" s="5" t="str">
        <f t="shared" si="53"/>
        <v>29</v>
      </c>
      <c r="D870" s="5" t="str">
        <f>"28"</f>
        <v>28</v>
      </c>
      <c r="E870" s="6">
        <v>105</v>
      </c>
      <c r="F870" s="6">
        <v>111.6</v>
      </c>
      <c r="G870" s="6">
        <v>72.2</v>
      </c>
      <c r="H870" s="6" t="s">
        <v>9</v>
      </c>
    </row>
    <row r="871" ht="20.1" customHeight="1" spans="1:8">
      <c r="A871" s="5" t="str">
        <f t="shared" si="54"/>
        <v>221008</v>
      </c>
      <c r="B871" s="5" t="str">
        <f>"2022112929"</f>
        <v>2022112929</v>
      </c>
      <c r="C871" s="5" t="str">
        <f t="shared" si="53"/>
        <v>29</v>
      </c>
      <c r="D871" s="5" t="str">
        <f>"29"</f>
        <v>29</v>
      </c>
      <c r="E871" s="6">
        <v>0</v>
      </c>
      <c r="F871" s="6">
        <v>0</v>
      </c>
      <c r="G871" s="6">
        <v>0</v>
      </c>
      <c r="H871" s="6" t="s">
        <v>10</v>
      </c>
    </row>
    <row r="872" ht="20.1" customHeight="1" spans="1:8">
      <c r="A872" s="5" t="str">
        <f t="shared" si="54"/>
        <v>221008</v>
      </c>
      <c r="B872" s="5" t="str">
        <f>"2022112930"</f>
        <v>2022112930</v>
      </c>
      <c r="C872" s="5" t="str">
        <f t="shared" si="53"/>
        <v>29</v>
      </c>
      <c r="D872" s="5" t="str">
        <f>"30"</f>
        <v>30</v>
      </c>
      <c r="E872" s="6">
        <v>0</v>
      </c>
      <c r="F872" s="6">
        <v>0</v>
      </c>
      <c r="G872" s="6">
        <v>0</v>
      </c>
      <c r="H872" s="6" t="s">
        <v>10</v>
      </c>
    </row>
    <row r="873" ht="20.1" customHeight="1" spans="1:8">
      <c r="A873" s="5" t="str">
        <f t="shared" si="54"/>
        <v>221008</v>
      </c>
      <c r="B873" s="5" t="str">
        <f>"2022113001"</f>
        <v>2022113001</v>
      </c>
      <c r="C873" s="5" t="str">
        <f t="shared" ref="C873:C902" si="55">"30"</f>
        <v>30</v>
      </c>
      <c r="D873" s="5" t="str">
        <f>"01"</f>
        <v>01</v>
      </c>
      <c r="E873" s="6">
        <v>108</v>
      </c>
      <c r="F873" s="6">
        <v>111.3</v>
      </c>
      <c r="G873" s="6">
        <v>73.1</v>
      </c>
      <c r="H873" s="6" t="s">
        <v>9</v>
      </c>
    </row>
    <row r="874" ht="20.1" customHeight="1" spans="1:8">
      <c r="A874" s="5" t="str">
        <f t="shared" si="54"/>
        <v>221008</v>
      </c>
      <c r="B874" s="5" t="str">
        <f>"2022113002"</f>
        <v>2022113002</v>
      </c>
      <c r="C874" s="5" t="str">
        <f t="shared" si="55"/>
        <v>30</v>
      </c>
      <c r="D874" s="5" t="str">
        <f>"02"</f>
        <v>02</v>
      </c>
      <c r="E874" s="6">
        <v>0</v>
      </c>
      <c r="F874" s="6">
        <v>0</v>
      </c>
      <c r="G874" s="6">
        <v>0</v>
      </c>
      <c r="H874" s="6" t="s">
        <v>10</v>
      </c>
    </row>
    <row r="875" ht="20.1" customHeight="1" spans="1:8">
      <c r="A875" s="5" t="str">
        <f t="shared" si="54"/>
        <v>221008</v>
      </c>
      <c r="B875" s="5" t="str">
        <f>"2022113003"</f>
        <v>2022113003</v>
      </c>
      <c r="C875" s="5" t="str">
        <f t="shared" si="55"/>
        <v>30</v>
      </c>
      <c r="D875" s="5" t="str">
        <f>"03"</f>
        <v>03</v>
      </c>
      <c r="E875" s="6">
        <v>0</v>
      </c>
      <c r="F875" s="6">
        <v>0</v>
      </c>
      <c r="G875" s="6">
        <v>0</v>
      </c>
      <c r="H875" s="6" t="s">
        <v>10</v>
      </c>
    </row>
    <row r="876" ht="20.1" customHeight="1" spans="1:8">
      <c r="A876" s="5" t="str">
        <f t="shared" si="54"/>
        <v>221008</v>
      </c>
      <c r="B876" s="5" t="str">
        <f>"2022113004"</f>
        <v>2022113004</v>
      </c>
      <c r="C876" s="5" t="str">
        <f t="shared" si="55"/>
        <v>30</v>
      </c>
      <c r="D876" s="5" t="str">
        <f>"04"</f>
        <v>04</v>
      </c>
      <c r="E876" s="6">
        <v>0</v>
      </c>
      <c r="F876" s="6">
        <v>0</v>
      </c>
      <c r="G876" s="6">
        <v>0</v>
      </c>
      <c r="H876" s="6" t="s">
        <v>10</v>
      </c>
    </row>
    <row r="877" ht="20.1" customHeight="1" spans="1:8">
      <c r="A877" s="5" t="str">
        <f t="shared" si="54"/>
        <v>221008</v>
      </c>
      <c r="B877" s="5" t="str">
        <f>"2022113005"</f>
        <v>2022113005</v>
      </c>
      <c r="C877" s="5" t="str">
        <f t="shared" si="55"/>
        <v>30</v>
      </c>
      <c r="D877" s="5" t="str">
        <f>"05"</f>
        <v>05</v>
      </c>
      <c r="E877" s="6">
        <v>0</v>
      </c>
      <c r="F877" s="6">
        <v>0</v>
      </c>
      <c r="G877" s="6">
        <v>0</v>
      </c>
      <c r="H877" s="6" t="s">
        <v>10</v>
      </c>
    </row>
    <row r="878" ht="20.1" customHeight="1" spans="1:8">
      <c r="A878" s="5" t="str">
        <f t="shared" si="54"/>
        <v>221008</v>
      </c>
      <c r="B878" s="5" t="str">
        <f>"2022113006"</f>
        <v>2022113006</v>
      </c>
      <c r="C878" s="5" t="str">
        <f t="shared" si="55"/>
        <v>30</v>
      </c>
      <c r="D878" s="5" t="str">
        <f>"06"</f>
        <v>06</v>
      </c>
      <c r="E878" s="6">
        <v>0</v>
      </c>
      <c r="F878" s="6">
        <v>0</v>
      </c>
      <c r="G878" s="6">
        <v>0</v>
      </c>
      <c r="H878" s="6" t="s">
        <v>10</v>
      </c>
    </row>
    <row r="879" ht="20.1" customHeight="1" spans="1:8">
      <c r="A879" s="5" t="str">
        <f t="shared" si="54"/>
        <v>221008</v>
      </c>
      <c r="B879" s="5" t="str">
        <f>"2022113007"</f>
        <v>2022113007</v>
      </c>
      <c r="C879" s="5" t="str">
        <f t="shared" si="55"/>
        <v>30</v>
      </c>
      <c r="D879" s="5" t="str">
        <f>"07"</f>
        <v>07</v>
      </c>
      <c r="E879" s="6">
        <v>114</v>
      </c>
      <c r="F879" s="6">
        <v>113.9</v>
      </c>
      <c r="G879" s="6">
        <v>75.9666666666667</v>
      </c>
      <c r="H879" s="6" t="s">
        <v>9</v>
      </c>
    </row>
    <row r="880" ht="20.1" customHeight="1" spans="1:8">
      <c r="A880" s="5" t="str">
        <f t="shared" si="54"/>
        <v>221008</v>
      </c>
      <c r="B880" s="5" t="str">
        <f>"2022113008"</f>
        <v>2022113008</v>
      </c>
      <c r="C880" s="5" t="str">
        <f t="shared" si="55"/>
        <v>30</v>
      </c>
      <c r="D880" s="5" t="str">
        <f>"08"</f>
        <v>08</v>
      </c>
      <c r="E880" s="6">
        <v>0</v>
      </c>
      <c r="F880" s="6">
        <v>0</v>
      </c>
      <c r="G880" s="6">
        <v>0</v>
      </c>
      <c r="H880" s="6" t="s">
        <v>10</v>
      </c>
    </row>
    <row r="881" ht="20.1" customHeight="1" spans="1:8">
      <c r="A881" s="5" t="str">
        <f t="shared" si="54"/>
        <v>221008</v>
      </c>
      <c r="B881" s="5" t="str">
        <f>"2022113009"</f>
        <v>2022113009</v>
      </c>
      <c r="C881" s="5" t="str">
        <f t="shared" si="55"/>
        <v>30</v>
      </c>
      <c r="D881" s="5" t="str">
        <f>"09"</f>
        <v>09</v>
      </c>
      <c r="E881" s="6">
        <v>118.5</v>
      </c>
      <c r="F881" s="6">
        <v>102.4</v>
      </c>
      <c r="G881" s="6">
        <v>73.6333333333333</v>
      </c>
      <c r="H881" s="6" t="s">
        <v>9</v>
      </c>
    </row>
    <row r="882" ht="20.1" customHeight="1" spans="1:8">
      <c r="A882" s="5" t="str">
        <f t="shared" si="54"/>
        <v>221008</v>
      </c>
      <c r="B882" s="5" t="str">
        <f>"2022113010"</f>
        <v>2022113010</v>
      </c>
      <c r="C882" s="5" t="str">
        <f t="shared" si="55"/>
        <v>30</v>
      </c>
      <c r="D882" s="5" t="str">
        <f>"10"</f>
        <v>10</v>
      </c>
      <c r="E882" s="6">
        <v>0</v>
      </c>
      <c r="F882" s="6">
        <v>0</v>
      </c>
      <c r="G882" s="6">
        <v>0</v>
      </c>
      <c r="H882" s="6" t="s">
        <v>10</v>
      </c>
    </row>
    <row r="883" ht="20.1" customHeight="1" spans="1:8">
      <c r="A883" s="5" t="str">
        <f t="shared" si="54"/>
        <v>221008</v>
      </c>
      <c r="B883" s="5" t="str">
        <f>"2022113011"</f>
        <v>2022113011</v>
      </c>
      <c r="C883" s="5" t="str">
        <f t="shared" si="55"/>
        <v>30</v>
      </c>
      <c r="D883" s="5" t="str">
        <f>"11"</f>
        <v>11</v>
      </c>
      <c r="E883" s="6">
        <v>102</v>
      </c>
      <c r="F883" s="6">
        <v>112.2</v>
      </c>
      <c r="G883" s="6">
        <v>71.4</v>
      </c>
      <c r="H883" s="6" t="s">
        <v>9</v>
      </c>
    </row>
    <row r="884" ht="20.1" customHeight="1" spans="1:8">
      <c r="A884" s="5" t="str">
        <f t="shared" si="54"/>
        <v>221008</v>
      </c>
      <c r="B884" s="5" t="str">
        <f>"2022113012"</f>
        <v>2022113012</v>
      </c>
      <c r="C884" s="5" t="str">
        <f t="shared" si="55"/>
        <v>30</v>
      </c>
      <c r="D884" s="5" t="str">
        <f>"12"</f>
        <v>12</v>
      </c>
      <c r="E884" s="6">
        <v>115.5</v>
      </c>
      <c r="F884" s="6">
        <v>118.2</v>
      </c>
      <c r="G884" s="6">
        <v>77.9</v>
      </c>
      <c r="H884" s="6" t="s">
        <v>9</v>
      </c>
    </row>
    <row r="885" ht="20.1" customHeight="1" spans="1:8">
      <c r="A885" s="5" t="str">
        <f t="shared" si="54"/>
        <v>221008</v>
      </c>
      <c r="B885" s="5" t="str">
        <f>"2022113013"</f>
        <v>2022113013</v>
      </c>
      <c r="C885" s="5" t="str">
        <f t="shared" si="55"/>
        <v>30</v>
      </c>
      <c r="D885" s="5" t="str">
        <f>"13"</f>
        <v>13</v>
      </c>
      <c r="E885" s="6">
        <v>0</v>
      </c>
      <c r="F885" s="6">
        <v>0</v>
      </c>
      <c r="G885" s="6">
        <v>0</v>
      </c>
      <c r="H885" s="6" t="s">
        <v>10</v>
      </c>
    </row>
    <row r="886" ht="20.1" customHeight="1" spans="1:8">
      <c r="A886" s="5" t="str">
        <f t="shared" si="54"/>
        <v>221008</v>
      </c>
      <c r="B886" s="5" t="str">
        <f>"2022113014"</f>
        <v>2022113014</v>
      </c>
      <c r="C886" s="5" t="str">
        <f t="shared" si="55"/>
        <v>30</v>
      </c>
      <c r="D886" s="5" t="str">
        <f>"14"</f>
        <v>14</v>
      </c>
      <c r="E886" s="6">
        <v>133.5</v>
      </c>
      <c r="F886" s="6">
        <v>113.2</v>
      </c>
      <c r="G886" s="6">
        <v>82.2333333333333</v>
      </c>
      <c r="H886" s="6" t="s">
        <v>9</v>
      </c>
    </row>
    <row r="887" ht="20.1" customHeight="1" spans="1:8">
      <c r="A887" s="5" t="str">
        <f t="shared" si="54"/>
        <v>221008</v>
      </c>
      <c r="B887" s="5" t="str">
        <f>"2022113015"</f>
        <v>2022113015</v>
      </c>
      <c r="C887" s="5" t="str">
        <f t="shared" si="55"/>
        <v>30</v>
      </c>
      <c r="D887" s="5" t="str">
        <f>"15"</f>
        <v>15</v>
      </c>
      <c r="E887" s="6">
        <v>121.5</v>
      </c>
      <c r="F887" s="6">
        <v>98.1</v>
      </c>
      <c r="G887" s="6">
        <v>73.2</v>
      </c>
      <c r="H887" s="6" t="s">
        <v>9</v>
      </c>
    </row>
    <row r="888" ht="20.1" customHeight="1" spans="1:8">
      <c r="A888" s="5" t="str">
        <f t="shared" si="54"/>
        <v>221008</v>
      </c>
      <c r="B888" s="5" t="str">
        <f>"2022113016"</f>
        <v>2022113016</v>
      </c>
      <c r="C888" s="5" t="str">
        <f t="shared" si="55"/>
        <v>30</v>
      </c>
      <c r="D888" s="5" t="str">
        <f>"16"</f>
        <v>16</v>
      </c>
      <c r="E888" s="6">
        <v>115.5</v>
      </c>
      <c r="F888" s="6">
        <v>92.4</v>
      </c>
      <c r="G888" s="6">
        <v>69.3</v>
      </c>
      <c r="H888" s="6" t="s">
        <v>9</v>
      </c>
    </row>
    <row r="889" ht="20.1" customHeight="1" spans="1:8">
      <c r="A889" s="5" t="str">
        <f t="shared" si="54"/>
        <v>221008</v>
      </c>
      <c r="B889" s="5" t="str">
        <f>"2022113017"</f>
        <v>2022113017</v>
      </c>
      <c r="C889" s="5" t="str">
        <f t="shared" si="55"/>
        <v>30</v>
      </c>
      <c r="D889" s="5" t="str">
        <f>"17"</f>
        <v>17</v>
      </c>
      <c r="E889" s="6">
        <v>111</v>
      </c>
      <c r="F889" s="6">
        <v>108.4</v>
      </c>
      <c r="G889" s="6">
        <v>73.1333333333333</v>
      </c>
      <c r="H889" s="6" t="s">
        <v>9</v>
      </c>
    </row>
    <row r="890" ht="20.1" customHeight="1" spans="1:8">
      <c r="A890" s="5" t="str">
        <f t="shared" si="54"/>
        <v>221008</v>
      </c>
      <c r="B890" s="5" t="str">
        <f>"2022113018"</f>
        <v>2022113018</v>
      </c>
      <c r="C890" s="5" t="str">
        <f t="shared" si="55"/>
        <v>30</v>
      </c>
      <c r="D890" s="5" t="str">
        <f>"18"</f>
        <v>18</v>
      </c>
      <c r="E890" s="6">
        <v>111</v>
      </c>
      <c r="F890" s="6">
        <v>106.7</v>
      </c>
      <c r="G890" s="6">
        <v>72.5666666666667</v>
      </c>
      <c r="H890" s="6" t="s">
        <v>9</v>
      </c>
    </row>
    <row r="891" ht="20.1" customHeight="1" spans="1:8">
      <c r="A891" s="5" t="str">
        <f t="shared" si="54"/>
        <v>221008</v>
      </c>
      <c r="B891" s="5" t="str">
        <f>"2022113019"</f>
        <v>2022113019</v>
      </c>
      <c r="C891" s="5" t="str">
        <f t="shared" si="55"/>
        <v>30</v>
      </c>
      <c r="D891" s="5" t="str">
        <f>"19"</f>
        <v>19</v>
      </c>
      <c r="E891" s="6">
        <v>0</v>
      </c>
      <c r="F891" s="6">
        <v>0</v>
      </c>
      <c r="G891" s="6">
        <v>0</v>
      </c>
      <c r="H891" s="6" t="s">
        <v>10</v>
      </c>
    </row>
    <row r="892" ht="20.1" customHeight="1" spans="1:8">
      <c r="A892" s="5" t="str">
        <f t="shared" si="54"/>
        <v>221008</v>
      </c>
      <c r="B892" s="5" t="str">
        <f>"2022113020"</f>
        <v>2022113020</v>
      </c>
      <c r="C892" s="5" t="str">
        <f t="shared" si="55"/>
        <v>30</v>
      </c>
      <c r="D892" s="5" t="str">
        <f>"20"</f>
        <v>20</v>
      </c>
      <c r="E892" s="6">
        <v>0</v>
      </c>
      <c r="F892" s="6">
        <v>0</v>
      </c>
      <c r="G892" s="6">
        <v>0</v>
      </c>
      <c r="H892" s="6" t="s">
        <v>10</v>
      </c>
    </row>
    <row r="893" ht="20.1" customHeight="1" spans="1:8">
      <c r="A893" s="5" t="str">
        <f t="shared" si="54"/>
        <v>221008</v>
      </c>
      <c r="B893" s="5" t="str">
        <f>"2022113021"</f>
        <v>2022113021</v>
      </c>
      <c r="C893" s="5" t="str">
        <f t="shared" si="55"/>
        <v>30</v>
      </c>
      <c r="D893" s="5" t="str">
        <f>"21"</f>
        <v>21</v>
      </c>
      <c r="E893" s="6">
        <v>0</v>
      </c>
      <c r="F893" s="6">
        <v>0</v>
      </c>
      <c r="G893" s="6">
        <v>0</v>
      </c>
      <c r="H893" s="6" t="s">
        <v>10</v>
      </c>
    </row>
    <row r="894" ht="20.1" customHeight="1" spans="1:8">
      <c r="A894" s="5" t="str">
        <f t="shared" si="54"/>
        <v>221008</v>
      </c>
      <c r="B894" s="5" t="str">
        <f>"2022113022"</f>
        <v>2022113022</v>
      </c>
      <c r="C894" s="5" t="str">
        <f t="shared" si="55"/>
        <v>30</v>
      </c>
      <c r="D894" s="5" t="str">
        <f>"22"</f>
        <v>22</v>
      </c>
      <c r="E894" s="6">
        <v>0</v>
      </c>
      <c r="F894" s="6">
        <v>0</v>
      </c>
      <c r="G894" s="6">
        <v>0</v>
      </c>
      <c r="H894" s="6" t="s">
        <v>10</v>
      </c>
    </row>
    <row r="895" ht="20.1" customHeight="1" spans="1:8">
      <c r="A895" s="5" t="str">
        <f t="shared" si="54"/>
        <v>221008</v>
      </c>
      <c r="B895" s="5" t="str">
        <f>"2022113023"</f>
        <v>2022113023</v>
      </c>
      <c r="C895" s="5" t="str">
        <f t="shared" si="55"/>
        <v>30</v>
      </c>
      <c r="D895" s="5" t="str">
        <f>"23"</f>
        <v>23</v>
      </c>
      <c r="E895" s="6">
        <v>106.5</v>
      </c>
      <c r="F895" s="6">
        <v>111.8</v>
      </c>
      <c r="G895" s="6">
        <v>72.7666666666667</v>
      </c>
      <c r="H895" s="6" t="s">
        <v>9</v>
      </c>
    </row>
    <row r="896" ht="20.1" customHeight="1" spans="1:8">
      <c r="A896" s="5" t="str">
        <f t="shared" si="54"/>
        <v>221008</v>
      </c>
      <c r="B896" s="5" t="str">
        <f>"2022113024"</f>
        <v>2022113024</v>
      </c>
      <c r="C896" s="5" t="str">
        <f t="shared" si="55"/>
        <v>30</v>
      </c>
      <c r="D896" s="5" t="str">
        <f>"24"</f>
        <v>24</v>
      </c>
      <c r="E896" s="6">
        <v>0</v>
      </c>
      <c r="F896" s="6">
        <v>0</v>
      </c>
      <c r="G896" s="6">
        <v>0</v>
      </c>
      <c r="H896" s="6" t="s">
        <v>10</v>
      </c>
    </row>
    <row r="897" ht="20.1" customHeight="1" spans="1:8">
      <c r="A897" s="5" t="str">
        <f t="shared" si="54"/>
        <v>221008</v>
      </c>
      <c r="B897" s="5" t="str">
        <f>"2022113025"</f>
        <v>2022113025</v>
      </c>
      <c r="C897" s="5" t="str">
        <f t="shared" si="55"/>
        <v>30</v>
      </c>
      <c r="D897" s="5" t="str">
        <f>"25"</f>
        <v>25</v>
      </c>
      <c r="E897" s="6">
        <v>133.5</v>
      </c>
      <c r="F897" s="6">
        <v>113.9</v>
      </c>
      <c r="G897" s="6">
        <v>82.4666666666667</v>
      </c>
      <c r="H897" s="7" t="s">
        <v>11</v>
      </c>
    </row>
    <row r="898" ht="20.1" customHeight="1" spans="1:8">
      <c r="A898" s="5" t="str">
        <f t="shared" si="54"/>
        <v>221008</v>
      </c>
      <c r="B898" s="5" t="str">
        <f>"2022113026"</f>
        <v>2022113026</v>
      </c>
      <c r="C898" s="5" t="str">
        <f t="shared" si="55"/>
        <v>30</v>
      </c>
      <c r="D898" s="5" t="str">
        <f>"26"</f>
        <v>26</v>
      </c>
      <c r="E898" s="6">
        <v>0</v>
      </c>
      <c r="F898" s="6">
        <v>0</v>
      </c>
      <c r="G898" s="6">
        <v>0</v>
      </c>
      <c r="H898" s="6" t="s">
        <v>10</v>
      </c>
    </row>
    <row r="899" ht="20.1" customHeight="1" spans="1:8">
      <c r="A899" s="5" t="str">
        <f t="shared" si="54"/>
        <v>221008</v>
      </c>
      <c r="B899" s="5" t="str">
        <f>"2022113027"</f>
        <v>2022113027</v>
      </c>
      <c r="C899" s="5" t="str">
        <f t="shared" si="55"/>
        <v>30</v>
      </c>
      <c r="D899" s="5" t="str">
        <f>"27"</f>
        <v>27</v>
      </c>
      <c r="E899" s="6">
        <v>0</v>
      </c>
      <c r="F899" s="6">
        <v>0</v>
      </c>
      <c r="G899" s="6">
        <v>0</v>
      </c>
      <c r="H899" s="6" t="s">
        <v>10</v>
      </c>
    </row>
    <row r="900" ht="20.1" customHeight="1" spans="1:8">
      <c r="A900" s="5" t="str">
        <f t="shared" ref="A900:A908" si="56">"221008"</f>
        <v>221008</v>
      </c>
      <c r="B900" s="5" t="str">
        <f>"2022113028"</f>
        <v>2022113028</v>
      </c>
      <c r="C900" s="5" t="str">
        <f t="shared" si="55"/>
        <v>30</v>
      </c>
      <c r="D900" s="5" t="str">
        <f>"28"</f>
        <v>28</v>
      </c>
      <c r="E900" s="6">
        <v>0</v>
      </c>
      <c r="F900" s="6">
        <v>0</v>
      </c>
      <c r="G900" s="6">
        <v>0</v>
      </c>
      <c r="H900" s="6" t="s">
        <v>10</v>
      </c>
    </row>
    <row r="901" ht="20.1" customHeight="1" spans="1:8">
      <c r="A901" s="5" t="str">
        <f t="shared" si="56"/>
        <v>221008</v>
      </c>
      <c r="B901" s="5" t="str">
        <f>"2022113029"</f>
        <v>2022113029</v>
      </c>
      <c r="C901" s="5" t="str">
        <f t="shared" si="55"/>
        <v>30</v>
      </c>
      <c r="D901" s="5" t="str">
        <f>"29"</f>
        <v>29</v>
      </c>
      <c r="E901" s="6">
        <v>0</v>
      </c>
      <c r="F901" s="6">
        <v>0</v>
      </c>
      <c r="G901" s="6">
        <v>0</v>
      </c>
      <c r="H901" s="6" t="s">
        <v>10</v>
      </c>
    </row>
    <row r="902" ht="20.1" customHeight="1" spans="1:8">
      <c r="A902" s="5" t="str">
        <f t="shared" si="56"/>
        <v>221008</v>
      </c>
      <c r="B902" s="5" t="str">
        <f>"2022113030"</f>
        <v>2022113030</v>
      </c>
      <c r="C902" s="5" t="str">
        <f t="shared" si="55"/>
        <v>30</v>
      </c>
      <c r="D902" s="5" t="str">
        <f>"30"</f>
        <v>30</v>
      </c>
      <c r="E902" s="6">
        <v>133.5</v>
      </c>
      <c r="F902" s="6">
        <v>118.2</v>
      </c>
      <c r="G902" s="6">
        <v>83.9</v>
      </c>
      <c r="H902" s="7" t="s">
        <v>11</v>
      </c>
    </row>
    <row r="903" ht="20.1" customHeight="1" spans="1:8">
      <c r="A903" s="5" t="str">
        <f t="shared" si="56"/>
        <v>221008</v>
      </c>
      <c r="B903" s="5" t="str">
        <f>"2022113101"</f>
        <v>2022113101</v>
      </c>
      <c r="C903" s="5" t="str">
        <f t="shared" ref="C903:C932" si="57">"31"</f>
        <v>31</v>
      </c>
      <c r="D903" s="5" t="str">
        <f>"01"</f>
        <v>01</v>
      </c>
      <c r="E903" s="6">
        <v>126</v>
      </c>
      <c r="F903" s="6">
        <v>109.7</v>
      </c>
      <c r="G903" s="6">
        <v>78.5666666666667</v>
      </c>
      <c r="H903" s="6" t="s">
        <v>9</v>
      </c>
    </row>
    <row r="904" ht="20.1" customHeight="1" spans="1:8">
      <c r="A904" s="5" t="str">
        <f t="shared" si="56"/>
        <v>221008</v>
      </c>
      <c r="B904" s="5" t="str">
        <f>"2022113102"</f>
        <v>2022113102</v>
      </c>
      <c r="C904" s="5" t="str">
        <f t="shared" si="57"/>
        <v>31</v>
      </c>
      <c r="D904" s="5" t="str">
        <f>"02"</f>
        <v>02</v>
      </c>
      <c r="E904" s="6">
        <v>127.5</v>
      </c>
      <c r="F904" s="6">
        <v>115</v>
      </c>
      <c r="G904" s="6">
        <v>80.8333333333333</v>
      </c>
      <c r="H904" s="6" t="s">
        <v>9</v>
      </c>
    </row>
    <row r="905" ht="20.1" customHeight="1" spans="1:8">
      <c r="A905" s="5" t="str">
        <f t="shared" si="56"/>
        <v>221008</v>
      </c>
      <c r="B905" s="5" t="str">
        <f>"2022113103"</f>
        <v>2022113103</v>
      </c>
      <c r="C905" s="5" t="str">
        <f t="shared" si="57"/>
        <v>31</v>
      </c>
      <c r="D905" s="5" t="str">
        <f>"03"</f>
        <v>03</v>
      </c>
      <c r="E905" s="6">
        <v>0</v>
      </c>
      <c r="F905" s="6">
        <v>0</v>
      </c>
      <c r="G905" s="6">
        <v>0</v>
      </c>
      <c r="H905" s="6" t="s">
        <v>10</v>
      </c>
    </row>
    <row r="906" ht="20.1" customHeight="1" spans="1:8">
      <c r="A906" s="5" t="str">
        <f t="shared" si="56"/>
        <v>221008</v>
      </c>
      <c r="B906" s="5" t="str">
        <f>"2022113104"</f>
        <v>2022113104</v>
      </c>
      <c r="C906" s="5" t="str">
        <f t="shared" si="57"/>
        <v>31</v>
      </c>
      <c r="D906" s="5" t="str">
        <f>"04"</f>
        <v>04</v>
      </c>
      <c r="E906" s="6">
        <v>0</v>
      </c>
      <c r="F906" s="6">
        <v>0</v>
      </c>
      <c r="G906" s="6">
        <v>0</v>
      </c>
      <c r="H906" s="6" t="s">
        <v>10</v>
      </c>
    </row>
    <row r="907" ht="20.1" customHeight="1" spans="1:8">
      <c r="A907" s="5" t="str">
        <f t="shared" si="56"/>
        <v>221008</v>
      </c>
      <c r="B907" s="5" t="str">
        <f>"2022113105"</f>
        <v>2022113105</v>
      </c>
      <c r="C907" s="5" t="str">
        <f t="shared" si="57"/>
        <v>31</v>
      </c>
      <c r="D907" s="5" t="str">
        <f>"05"</f>
        <v>05</v>
      </c>
      <c r="E907" s="6">
        <v>112.5</v>
      </c>
      <c r="F907" s="6">
        <v>114</v>
      </c>
      <c r="G907" s="6">
        <v>75.5</v>
      </c>
      <c r="H907" s="6" t="s">
        <v>9</v>
      </c>
    </row>
    <row r="908" ht="20.1" customHeight="1" spans="1:8">
      <c r="A908" s="5" t="str">
        <f t="shared" si="56"/>
        <v>221008</v>
      </c>
      <c r="B908" s="5" t="str">
        <f>"2022113106"</f>
        <v>2022113106</v>
      </c>
      <c r="C908" s="5" t="str">
        <f t="shared" si="57"/>
        <v>31</v>
      </c>
      <c r="D908" s="5" t="str">
        <f>"06"</f>
        <v>06</v>
      </c>
      <c r="E908" s="6">
        <v>123</v>
      </c>
      <c r="F908" s="6">
        <v>94.8</v>
      </c>
      <c r="G908" s="6">
        <v>72.6</v>
      </c>
      <c r="H908" s="6" t="s">
        <v>9</v>
      </c>
    </row>
    <row r="909" ht="20.1" customHeight="1" spans="1:8">
      <c r="A909" s="5" t="str">
        <f t="shared" ref="A909:A940" si="58">"221009"</f>
        <v>221009</v>
      </c>
      <c r="B909" s="5" t="str">
        <f>"2022113107"</f>
        <v>2022113107</v>
      </c>
      <c r="C909" s="5" t="str">
        <f t="shared" si="57"/>
        <v>31</v>
      </c>
      <c r="D909" s="5" t="str">
        <f>"07"</f>
        <v>07</v>
      </c>
      <c r="E909" s="6">
        <v>106.5</v>
      </c>
      <c r="F909" s="6">
        <v>113.9</v>
      </c>
      <c r="G909" s="6">
        <v>73.4666666666667</v>
      </c>
      <c r="H909" s="6" t="s">
        <v>9</v>
      </c>
    </row>
    <row r="910" ht="20.1" customHeight="1" spans="1:8">
      <c r="A910" s="5" t="str">
        <f t="shared" si="58"/>
        <v>221009</v>
      </c>
      <c r="B910" s="5" t="str">
        <f>"2022113108"</f>
        <v>2022113108</v>
      </c>
      <c r="C910" s="5" t="str">
        <f t="shared" si="57"/>
        <v>31</v>
      </c>
      <c r="D910" s="5" t="str">
        <f>"08"</f>
        <v>08</v>
      </c>
      <c r="E910" s="6">
        <v>120</v>
      </c>
      <c r="F910" s="6">
        <v>106.6</v>
      </c>
      <c r="G910" s="6">
        <v>75.5333333333333</v>
      </c>
      <c r="H910" s="6" t="s">
        <v>9</v>
      </c>
    </row>
    <row r="911" ht="20.1" customHeight="1" spans="1:8">
      <c r="A911" s="5" t="str">
        <f t="shared" si="58"/>
        <v>221009</v>
      </c>
      <c r="B911" s="5" t="str">
        <f>"2022113109"</f>
        <v>2022113109</v>
      </c>
      <c r="C911" s="5" t="str">
        <f t="shared" si="57"/>
        <v>31</v>
      </c>
      <c r="D911" s="5" t="str">
        <f>"09"</f>
        <v>09</v>
      </c>
      <c r="E911" s="6">
        <v>0</v>
      </c>
      <c r="F911" s="6">
        <v>0</v>
      </c>
      <c r="G911" s="6">
        <v>0</v>
      </c>
      <c r="H911" s="6" t="s">
        <v>10</v>
      </c>
    </row>
    <row r="912" ht="20.1" customHeight="1" spans="1:8">
      <c r="A912" s="5" t="str">
        <f t="shared" si="58"/>
        <v>221009</v>
      </c>
      <c r="B912" s="5" t="str">
        <f>"2022113110"</f>
        <v>2022113110</v>
      </c>
      <c r="C912" s="5" t="str">
        <f t="shared" si="57"/>
        <v>31</v>
      </c>
      <c r="D912" s="5" t="str">
        <f>"10"</f>
        <v>10</v>
      </c>
      <c r="E912" s="6">
        <v>90</v>
      </c>
      <c r="F912" s="6">
        <v>107.3</v>
      </c>
      <c r="G912" s="6">
        <v>65.7666666666667</v>
      </c>
      <c r="H912" s="6" t="s">
        <v>9</v>
      </c>
    </row>
    <row r="913" ht="20.1" customHeight="1" spans="1:8">
      <c r="A913" s="5" t="str">
        <f t="shared" si="58"/>
        <v>221009</v>
      </c>
      <c r="B913" s="5" t="str">
        <f>"2022113111"</f>
        <v>2022113111</v>
      </c>
      <c r="C913" s="5" t="str">
        <f t="shared" si="57"/>
        <v>31</v>
      </c>
      <c r="D913" s="5" t="str">
        <f>"11"</f>
        <v>11</v>
      </c>
      <c r="E913" s="6">
        <v>0</v>
      </c>
      <c r="F913" s="6">
        <v>0</v>
      </c>
      <c r="G913" s="6">
        <v>0</v>
      </c>
      <c r="H913" s="6" t="s">
        <v>10</v>
      </c>
    </row>
    <row r="914" ht="20.1" customHeight="1" spans="1:8">
      <c r="A914" s="5" t="str">
        <f t="shared" si="58"/>
        <v>221009</v>
      </c>
      <c r="B914" s="5" t="str">
        <f>"2022113112"</f>
        <v>2022113112</v>
      </c>
      <c r="C914" s="5" t="str">
        <f t="shared" si="57"/>
        <v>31</v>
      </c>
      <c r="D914" s="5" t="str">
        <f>"12"</f>
        <v>12</v>
      </c>
      <c r="E914" s="6">
        <v>0</v>
      </c>
      <c r="F914" s="6">
        <v>0</v>
      </c>
      <c r="G914" s="6">
        <v>0</v>
      </c>
      <c r="H914" s="6" t="s">
        <v>10</v>
      </c>
    </row>
    <row r="915" ht="20.1" customHeight="1" spans="1:8">
      <c r="A915" s="5" t="str">
        <f t="shared" si="58"/>
        <v>221009</v>
      </c>
      <c r="B915" s="5" t="str">
        <f>"2022113113"</f>
        <v>2022113113</v>
      </c>
      <c r="C915" s="5" t="str">
        <f t="shared" si="57"/>
        <v>31</v>
      </c>
      <c r="D915" s="5" t="str">
        <f>"13"</f>
        <v>13</v>
      </c>
      <c r="E915" s="6">
        <v>124.5</v>
      </c>
      <c r="F915" s="6">
        <v>104.3</v>
      </c>
      <c r="G915" s="6">
        <v>76.2666666666667</v>
      </c>
      <c r="H915" s="6" t="s">
        <v>9</v>
      </c>
    </row>
    <row r="916" ht="20.1" customHeight="1" spans="1:8">
      <c r="A916" s="5" t="str">
        <f t="shared" si="58"/>
        <v>221009</v>
      </c>
      <c r="B916" s="5" t="str">
        <f>"2022113114"</f>
        <v>2022113114</v>
      </c>
      <c r="C916" s="5" t="str">
        <f t="shared" si="57"/>
        <v>31</v>
      </c>
      <c r="D916" s="5" t="str">
        <f>"14"</f>
        <v>14</v>
      </c>
      <c r="E916" s="6">
        <v>0</v>
      </c>
      <c r="F916" s="6">
        <v>0</v>
      </c>
      <c r="G916" s="6">
        <v>0</v>
      </c>
      <c r="H916" s="6" t="s">
        <v>10</v>
      </c>
    </row>
    <row r="917" ht="20.1" customHeight="1" spans="1:8">
      <c r="A917" s="5" t="str">
        <f t="shared" si="58"/>
        <v>221009</v>
      </c>
      <c r="B917" s="5" t="str">
        <f>"2022113115"</f>
        <v>2022113115</v>
      </c>
      <c r="C917" s="5" t="str">
        <f t="shared" si="57"/>
        <v>31</v>
      </c>
      <c r="D917" s="5" t="str">
        <f>"15"</f>
        <v>15</v>
      </c>
      <c r="E917" s="6">
        <v>97.5</v>
      </c>
      <c r="F917" s="6">
        <v>108.5</v>
      </c>
      <c r="G917" s="6">
        <v>68.6666666666667</v>
      </c>
      <c r="H917" s="6" t="s">
        <v>9</v>
      </c>
    </row>
    <row r="918" ht="20.1" customHeight="1" spans="1:8">
      <c r="A918" s="5" t="str">
        <f t="shared" si="58"/>
        <v>221009</v>
      </c>
      <c r="B918" s="5" t="str">
        <f>"2022113116"</f>
        <v>2022113116</v>
      </c>
      <c r="C918" s="5" t="str">
        <f t="shared" si="57"/>
        <v>31</v>
      </c>
      <c r="D918" s="5" t="str">
        <f>"16"</f>
        <v>16</v>
      </c>
      <c r="E918" s="6">
        <v>0</v>
      </c>
      <c r="F918" s="6">
        <v>0</v>
      </c>
      <c r="G918" s="6">
        <v>0</v>
      </c>
      <c r="H918" s="6" t="s">
        <v>10</v>
      </c>
    </row>
    <row r="919" ht="20.1" customHeight="1" spans="1:8">
      <c r="A919" s="5" t="str">
        <f t="shared" si="58"/>
        <v>221009</v>
      </c>
      <c r="B919" s="5" t="str">
        <f>"2022113117"</f>
        <v>2022113117</v>
      </c>
      <c r="C919" s="5" t="str">
        <f t="shared" si="57"/>
        <v>31</v>
      </c>
      <c r="D919" s="5" t="str">
        <f>"17"</f>
        <v>17</v>
      </c>
      <c r="E919" s="6">
        <v>93</v>
      </c>
      <c r="F919" s="6">
        <v>114.7</v>
      </c>
      <c r="G919" s="6">
        <v>69.2333333333333</v>
      </c>
      <c r="H919" s="6" t="s">
        <v>9</v>
      </c>
    </row>
    <row r="920" ht="20.1" customHeight="1" spans="1:8">
      <c r="A920" s="5" t="str">
        <f t="shared" si="58"/>
        <v>221009</v>
      </c>
      <c r="B920" s="5" t="str">
        <f>"2022113118"</f>
        <v>2022113118</v>
      </c>
      <c r="C920" s="5" t="str">
        <f t="shared" si="57"/>
        <v>31</v>
      </c>
      <c r="D920" s="5" t="str">
        <f>"18"</f>
        <v>18</v>
      </c>
      <c r="E920" s="6">
        <v>115.5</v>
      </c>
      <c r="F920" s="6">
        <v>98</v>
      </c>
      <c r="G920" s="6">
        <v>71.1666666666667</v>
      </c>
      <c r="H920" s="6" t="s">
        <v>9</v>
      </c>
    </row>
    <row r="921" ht="20.1" customHeight="1" spans="1:8">
      <c r="A921" s="5" t="str">
        <f t="shared" si="58"/>
        <v>221009</v>
      </c>
      <c r="B921" s="5" t="str">
        <f>"2022113119"</f>
        <v>2022113119</v>
      </c>
      <c r="C921" s="5" t="str">
        <f t="shared" si="57"/>
        <v>31</v>
      </c>
      <c r="D921" s="5" t="str">
        <f>"19"</f>
        <v>19</v>
      </c>
      <c r="E921" s="6">
        <v>108</v>
      </c>
      <c r="F921" s="6">
        <v>107.8</v>
      </c>
      <c r="G921" s="6">
        <v>71.9333333333333</v>
      </c>
      <c r="H921" s="6" t="s">
        <v>9</v>
      </c>
    </row>
    <row r="922" ht="20.1" customHeight="1" spans="1:8">
      <c r="A922" s="5" t="str">
        <f t="shared" si="58"/>
        <v>221009</v>
      </c>
      <c r="B922" s="5" t="str">
        <f>"2022113120"</f>
        <v>2022113120</v>
      </c>
      <c r="C922" s="5" t="str">
        <f t="shared" si="57"/>
        <v>31</v>
      </c>
      <c r="D922" s="5" t="str">
        <f>"20"</f>
        <v>20</v>
      </c>
      <c r="E922" s="6">
        <v>109.5</v>
      </c>
      <c r="F922" s="6">
        <v>113.7</v>
      </c>
      <c r="G922" s="6">
        <v>74.4</v>
      </c>
      <c r="H922" s="6" t="s">
        <v>9</v>
      </c>
    </row>
    <row r="923" ht="20.1" customHeight="1" spans="1:8">
      <c r="A923" s="5" t="str">
        <f t="shared" si="58"/>
        <v>221009</v>
      </c>
      <c r="B923" s="5" t="str">
        <f>"2022113121"</f>
        <v>2022113121</v>
      </c>
      <c r="C923" s="5" t="str">
        <f t="shared" si="57"/>
        <v>31</v>
      </c>
      <c r="D923" s="5" t="str">
        <f>"21"</f>
        <v>21</v>
      </c>
      <c r="E923" s="6">
        <v>115.5</v>
      </c>
      <c r="F923" s="6">
        <v>94.1</v>
      </c>
      <c r="G923" s="6">
        <v>69.8666666666667</v>
      </c>
      <c r="H923" s="6" t="s">
        <v>9</v>
      </c>
    </row>
    <row r="924" ht="20.1" customHeight="1" spans="1:8">
      <c r="A924" s="5" t="str">
        <f t="shared" si="58"/>
        <v>221009</v>
      </c>
      <c r="B924" s="5" t="str">
        <f>"2022113122"</f>
        <v>2022113122</v>
      </c>
      <c r="C924" s="5" t="str">
        <f t="shared" si="57"/>
        <v>31</v>
      </c>
      <c r="D924" s="5" t="str">
        <f>"22"</f>
        <v>22</v>
      </c>
      <c r="E924" s="6">
        <v>114</v>
      </c>
      <c r="F924" s="6">
        <v>105.8</v>
      </c>
      <c r="G924" s="6">
        <v>73.2666666666667</v>
      </c>
      <c r="H924" s="6" t="s">
        <v>9</v>
      </c>
    </row>
    <row r="925" ht="20.1" customHeight="1" spans="1:8">
      <c r="A925" s="5" t="str">
        <f t="shared" si="58"/>
        <v>221009</v>
      </c>
      <c r="B925" s="5" t="str">
        <f>"2022113123"</f>
        <v>2022113123</v>
      </c>
      <c r="C925" s="5" t="str">
        <f t="shared" si="57"/>
        <v>31</v>
      </c>
      <c r="D925" s="5" t="str">
        <f>"23"</f>
        <v>23</v>
      </c>
      <c r="E925" s="6">
        <v>121.5</v>
      </c>
      <c r="F925" s="6">
        <v>113.8</v>
      </c>
      <c r="G925" s="6">
        <v>78.4333333333333</v>
      </c>
      <c r="H925" s="6" t="s">
        <v>9</v>
      </c>
    </row>
    <row r="926" ht="20.1" customHeight="1" spans="1:8">
      <c r="A926" s="5" t="str">
        <f t="shared" si="58"/>
        <v>221009</v>
      </c>
      <c r="B926" s="5" t="str">
        <f>"2022113124"</f>
        <v>2022113124</v>
      </c>
      <c r="C926" s="5" t="str">
        <f t="shared" si="57"/>
        <v>31</v>
      </c>
      <c r="D926" s="5" t="str">
        <f>"24"</f>
        <v>24</v>
      </c>
      <c r="E926" s="6">
        <v>0</v>
      </c>
      <c r="F926" s="6">
        <v>0</v>
      </c>
      <c r="G926" s="6">
        <v>0</v>
      </c>
      <c r="H926" s="6" t="s">
        <v>10</v>
      </c>
    </row>
    <row r="927" ht="20.1" customHeight="1" spans="1:8">
      <c r="A927" s="5" t="str">
        <f t="shared" si="58"/>
        <v>221009</v>
      </c>
      <c r="B927" s="5" t="str">
        <f>"2022113125"</f>
        <v>2022113125</v>
      </c>
      <c r="C927" s="5" t="str">
        <f t="shared" si="57"/>
        <v>31</v>
      </c>
      <c r="D927" s="5" t="str">
        <f>"25"</f>
        <v>25</v>
      </c>
      <c r="E927" s="6">
        <v>130.5</v>
      </c>
      <c r="F927" s="6">
        <v>104.6</v>
      </c>
      <c r="G927" s="6">
        <v>78.3666666666667</v>
      </c>
      <c r="H927" s="6" t="s">
        <v>9</v>
      </c>
    </row>
    <row r="928" ht="20.1" customHeight="1" spans="1:8">
      <c r="A928" s="5" t="str">
        <f t="shared" si="58"/>
        <v>221009</v>
      </c>
      <c r="B928" s="5" t="str">
        <f>"2022113126"</f>
        <v>2022113126</v>
      </c>
      <c r="C928" s="5" t="str">
        <f t="shared" si="57"/>
        <v>31</v>
      </c>
      <c r="D928" s="5" t="str">
        <f>"26"</f>
        <v>26</v>
      </c>
      <c r="E928" s="6">
        <v>120</v>
      </c>
      <c r="F928" s="6">
        <v>111.5</v>
      </c>
      <c r="G928" s="6">
        <v>77.1666666666667</v>
      </c>
      <c r="H928" s="6" t="s">
        <v>9</v>
      </c>
    </row>
    <row r="929" ht="20.1" customHeight="1" spans="1:8">
      <c r="A929" s="5" t="str">
        <f t="shared" si="58"/>
        <v>221009</v>
      </c>
      <c r="B929" s="5" t="str">
        <f>"2022113127"</f>
        <v>2022113127</v>
      </c>
      <c r="C929" s="5" t="str">
        <f t="shared" si="57"/>
        <v>31</v>
      </c>
      <c r="D929" s="5" t="str">
        <f>"27"</f>
        <v>27</v>
      </c>
      <c r="E929" s="6">
        <v>0</v>
      </c>
      <c r="F929" s="6">
        <v>0</v>
      </c>
      <c r="G929" s="6">
        <v>0</v>
      </c>
      <c r="H929" s="6" t="s">
        <v>10</v>
      </c>
    </row>
    <row r="930" ht="20.1" customHeight="1" spans="1:8">
      <c r="A930" s="5" t="str">
        <f t="shared" si="58"/>
        <v>221009</v>
      </c>
      <c r="B930" s="5" t="str">
        <f>"2022113128"</f>
        <v>2022113128</v>
      </c>
      <c r="C930" s="5" t="str">
        <f t="shared" si="57"/>
        <v>31</v>
      </c>
      <c r="D930" s="5" t="str">
        <f>"28"</f>
        <v>28</v>
      </c>
      <c r="E930" s="6">
        <v>0</v>
      </c>
      <c r="F930" s="6">
        <v>0</v>
      </c>
      <c r="G930" s="6">
        <v>0</v>
      </c>
      <c r="H930" s="6" t="s">
        <v>10</v>
      </c>
    </row>
    <row r="931" ht="20.1" customHeight="1" spans="1:8">
      <c r="A931" s="5" t="str">
        <f t="shared" si="58"/>
        <v>221009</v>
      </c>
      <c r="B931" s="5" t="str">
        <f>"2022113129"</f>
        <v>2022113129</v>
      </c>
      <c r="C931" s="5" t="str">
        <f t="shared" si="57"/>
        <v>31</v>
      </c>
      <c r="D931" s="5" t="str">
        <f>"29"</f>
        <v>29</v>
      </c>
      <c r="E931" s="6">
        <v>0</v>
      </c>
      <c r="F931" s="6">
        <v>0</v>
      </c>
      <c r="G931" s="6">
        <v>0</v>
      </c>
      <c r="H931" s="6" t="s">
        <v>10</v>
      </c>
    </row>
    <row r="932" ht="20.1" customHeight="1" spans="1:8">
      <c r="A932" s="5" t="str">
        <f t="shared" si="58"/>
        <v>221009</v>
      </c>
      <c r="B932" s="5" t="str">
        <f>"2022113130"</f>
        <v>2022113130</v>
      </c>
      <c r="C932" s="5" t="str">
        <f t="shared" si="57"/>
        <v>31</v>
      </c>
      <c r="D932" s="5" t="str">
        <f>"30"</f>
        <v>30</v>
      </c>
      <c r="E932" s="6">
        <v>0</v>
      </c>
      <c r="F932" s="6">
        <v>0</v>
      </c>
      <c r="G932" s="6">
        <v>0</v>
      </c>
      <c r="H932" s="6" t="s">
        <v>10</v>
      </c>
    </row>
    <row r="933" ht="20.1" customHeight="1" spans="1:8">
      <c r="A933" s="5" t="str">
        <f t="shared" si="58"/>
        <v>221009</v>
      </c>
      <c r="B933" s="5" t="str">
        <f>"2022113201"</f>
        <v>2022113201</v>
      </c>
      <c r="C933" s="5" t="str">
        <f t="shared" ref="C933:C962" si="59">"32"</f>
        <v>32</v>
      </c>
      <c r="D933" s="5" t="str">
        <f>"01"</f>
        <v>01</v>
      </c>
      <c r="E933" s="6">
        <v>105</v>
      </c>
      <c r="F933" s="6">
        <v>109.5</v>
      </c>
      <c r="G933" s="6">
        <v>71.5</v>
      </c>
      <c r="H933" s="6" t="s">
        <v>9</v>
      </c>
    </row>
    <row r="934" ht="20.1" customHeight="1" spans="1:8">
      <c r="A934" s="5" t="str">
        <f t="shared" si="58"/>
        <v>221009</v>
      </c>
      <c r="B934" s="5" t="str">
        <f>"2022113202"</f>
        <v>2022113202</v>
      </c>
      <c r="C934" s="5" t="str">
        <f t="shared" si="59"/>
        <v>32</v>
      </c>
      <c r="D934" s="5" t="str">
        <f>"02"</f>
        <v>02</v>
      </c>
      <c r="E934" s="6">
        <v>0</v>
      </c>
      <c r="F934" s="6">
        <v>0</v>
      </c>
      <c r="G934" s="6">
        <v>0</v>
      </c>
      <c r="H934" s="6" t="s">
        <v>10</v>
      </c>
    </row>
    <row r="935" ht="20.1" customHeight="1" spans="1:8">
      <c r="A935" s="5" t="str">
        <f t="shared" si="58"/>
        <v>221009</v>
      </c>
      <c r="B935" s="5" t="str">
        <f>"2022113203"</f>
        <v>2022113203</v>
      </c>
      <c r="C935" s="5" t="str">
        <f t="shared" si="59"/>
        <v>32</v>
      </c>
      <c r="D935" s="5" t="str">
        <f>"03"</f>
        <v>03</v>
      </c>
      <c r="E935" s="6">
        <v>115.5</v>
      </c>
      <c r="F935" s="6">
        <v>98.7</v>
      </c>
      <c r="G935" s="6">
        <v>71.4</v>
      </c>
      <c r="H935" s="6" t="s">
        <v>9</v>
      </c>
    </row>
    <row r="936" ht="20.1" customHeight="1" spans="1:8">
      <c r="A936" s="5" t="str">
        <f t="shared" si="58"/>
        <v>221009</v>
      </c>
      <c r="B936" s="5" t="str">
        <f>"2022113204"</f>
        <v>2022113204</v>
      </c>
      <c r="C936" s="5" t="str">
        <f t="shared" si="59"/>
        <v>32</v>
      </c>
      <c r="D936" s="5" t="str">
        <f>"04"</f>
        <v>04</v>
      </c>
      <c r="E936" s="6">
        <v>81</v>
      </c>
      <c r="F936" s="6">
        <v>110.4</v>
      </c>
      <c r="G936" s="6">
        <v>63.8</v>
      </c>
      <c r="H936" s="6" t="s">
        <v>9</v>
      </c>
    </row>
    <row r="937" ht="20.1" customHeight="1" spans="1:8">
      <c r="A937" s="5" t="str">
        <f t="shared" si="58"/>
        <v>221009</v>
      </c>
      <c r="B937" s="5" t="str">
        <f>"2022113205"</f>
        <v>2022113205</v>
      </c>
      <c r="C937" s="5" t="str">
        <f t="shared" si="59"/>
        <v>32</v>
      </c>
      <c r="D937" s="5" t="str">
        <f>"05"</f>
        <v>05</v>
      </c>
      <c r="E937" s="6">
        <v>132</v>
      </c>
      <c r="F937" s="6">
        <v>110.4</v>
      </c>
      <c r="G937" s="6">
        <v>80.8</v>
      </c>
      <c r="H937" s="6" t="s">
        <v>9</v>
      </c>
    </row>
    <row r="938" ht="20.1" customHeight="1" spans="1:8">
      <c r="A938" s="5" t="str">
        <f t="shared" si="58"/>
        <v>221009</v>
      </c>
      <c r="B938" s="5" t="str">
        <f>"2022113206"</f>
        <v>2022113206</v>
      </c>
      <c r="C938" s="5" t="str">
        <f t="shared" si="59"/>
        <v>32</v>
      </c>
      <c r="D938" s="5" t="str">
        <f>"06"</f>
        <v>06</v>
      </c>
      <c r="E938" s="6">
        <v>100.5</v>
      </c>
      <c r="F938" s="6">
        <v>112.3</v>
      </c>
      <c r="G938" s="6">
        <v>70.9333333333333</v>
      </c>
      <c r="H938" s="6" t="s">
        <v>9</v>
      </c>
    </row>
    <row r="939" ht="20.1" customHeight="1" spans="1:8">
      <c r="A939" s="5" t="str">
        <f t="shared" si="58"/>
        <v>221009</v>
      </c>
      <c r="B939" s="5" t="str">
        <f>"2022113207"</f>
        <v>2022113207</v>
      </c>
      <c r="C939" s="5" t="str">
        <f t="shared" si="59"/>
        <v>32</v>
      </c>
      <c r="D939" s="5" t="str">
        <f>"07"</f>
        <v>07</v>
      </c>
      <c r="E939" s="6">
        <v>126</v>
      </c>
      <c r="F939" s="6">
        <v>108.8</v>
      </c>
      <c r="G939" s="6">
        <v>78.2666666666667</v>
      </c>
      <c r="H939" s="6" t="s">
        <v>9</v>
      </c>
    </row>
    <row r="940" ht="20.1" customHeight="1" spans="1:8">
      <c r="A940" s="5" t="str">
        <f t="shared" si="58"/>
        <v>221009</v>
      </c>
      <c r="B940" s="5" t="str">
        <f>"2022113208"</f>
        <v>2022113208</v>
      </c>
      <c r="C940" s="5" t="str">
        <f t="shared" si="59"/>
        <v>32</v>
      </c>
      <c r="D940" s="5" t="str">
        <f>"08"</f>
        <v>08</v>
      </c>
      <c r="E940" s="6">
        <v>0</v>
      </c>
      <c r="F940" s="6">
        <v>0</v>
      </c>
      <c r="G940" s="6">
        <v>0</v>
      </c>
      <c r="H940" s="6" t="s">
        <v>10</v>
      </c>
    </row>
    <row r="941" ht="20.1" customHeight="1" spans="1:8">
      <c r="A941" s="5" t="str">
        <f t="shared" ref="A941:A972" si="60">"221009"</f>
        <v>221009</v>
      </c>
      <c r="B941" s="5" t="str">
        <f>"2022113209"</f>
        <v>2022113209</v>
      </c>
      <c r="C941" s="5" t="str">
        <f t="shared" si="59"/>
        <v>32</v>
      </c>
      <c r="D941" s="5" t="str">
        <f>"09"</f>
        <v>09</v>
      </c>
      <c r="E941" s="6">
        <v>105</v>
      </c>
      <c r="F941" s="6">
        <v>107.7</v>
      </c>
      <c r="G941" s="6">
        <v>70.9</v>
      </c>
      <c r="H941" s="6" t="s">
        <v>9</v>
      </c>
    </row>
    <row r="942" ht="20.1" customHeight="1" spans="1:8">
      <c r="A942" s="5" t="str">
        <f t="shared" si="60"/>
        <v>221009</v>
      </c>
      <c r="B942" s="5" t="str">
        <f>"2022113210"</f>
        <v>2022113210</v>
      </c>
      <c r="C942" s="5" t="str">
        <f t="shared" si="59"/>
        <v>32</v>
      </c>
      <c r="D942" s="5" t="str">
        <f>"10"</f>
        <v>10</v>
      </c>
      <c r="E942" s="6">
        <v>88.5</v>
      </c>
      <c r="F942" s="6">
        <v>107.7</v>
      </c>
      <c r="G942" s="6">
        <v>65.4</v>
      </c>
      <c r="H942" s="6" t="s">
        <v>9</v>
      </c>
    </row>
    <row r="943" ht="20.1" customHeight="1" spans="1:8">
      <c r="A943" s="5" t="str">
        <f t="shared" si="60"/>
        <v>221009</v>
      </c>
      <c r="B943" s="5" t="str">
        <f>"2022113211"</f>
        <v>2022113211</v>
      </c>
      <c r="C943" s="5" t="str">
        <f t="shared" si="59"/>
        <v>32</v>
      </c>
      <c r="D943" s="5" t="str">
        <f>"11"</f>
        <v>11</v>
      </c>
      <c r="E943" s="6">
        <v>105</v>
      </c>
      <c r="F943" s="6">
        <v>107.8</v>
      </c>
      <c r="G943" s="6">
        <v>70.9333333333333</v>
      </c>
      <c r="H943" s="6" t="s">
        <v>9</v>
      </c>
    </row>
    <row r="944" ht="20.1" customHeight="1" spans="1:8">
      <c r="A944" s="5" t="str">
        <f t="shared" si="60"/>
        <v>221009</v>
      </c>
      <c r="B944" s="5" t="str">
        <f>"2022113212"</f>
        <v>2022113212</v>
      </c>
      <c r="C944" s="5" t="str">
        <f t="shared" si="59"/>
        <v>32</v>
      </c>
      <c r="D944" s="5" t="str">
        <f>"12"</f>
        <v>12</v>
      </c>
      <c r="E944" s="6">
        <v>94.5</v>
      </c>
      <c r="F944" s="6">
        <v>114.2</v>
      </c>
      <c r="G944" s="6">
        <v>69.5666666666667</v>
      </c>
      <c r="H944" s="6" t="s">
        <v>9</v>
      </c>
    </row>
    <row r="945" ht="20.1" customHeight="1" spans="1:8">
      <c r="A945" s="5" t="str">
        <f t="shared" si="60"/>
        <v>221009</v>
      </c>
      <c r="B945" s="5" t="str">
        <f>"2022113213"</f>
        <v>2022113213</v>
      </c>
      <c r="C945" s="5" t="str">
        <f t="shared" si="59"/>
        <v>32</v>
      </c>
      <c r="D945" s="5" t="str">
        <f>"13"</f>
        <v>13</v>
      </c>
      <c r="E945" s="6">
        <v>0</v>
      </c>
      <c r="F945" s="6">
        <v>0</v>
      </c>
      <c r="G945" s="6">
        <v>0</v>
      </c>
      <c r="H945" s="6" t="s">
        <v>10</v>
      </c>
    </row>
    <row r="946" ht="20.1" customHeight="1" spans="1:8">
      <c r="A946" s="5" t="str">
        <f t="shared" si="60"/>
        <v>221009</v>
      </c>
      <c r="B946" s="5" t="str">
        <f>"2022113214"</f>
        <v>2022113214</v>
      </c>
      <c r="C946" s="5" t="str">
        <f t="shared" si="59"/>
        <v>32</v>
      </c>
      <c r="D946" s="5" t="str">
        <f>"14"</f>
        <v>14</v>
      </c>
      <c r="E946" s="6">
        <v>0</v>
      </c>
      <c r="F946" s="6">
        <v>0</v>
      </c>
      <c r="G946" s="6">
        <v>0</v>
      </c>
      <c r="H946" s="6" t="s">
        <v>10</v>
      </c>
    </row>
    <row r="947" ht="20.1" customHeight="1" spans="1:8">
      <c r="A947" s="5" t="str">
        <f t="shared" si="60"/>
        <v>221009</v>
      </c>
      <c r="B947" s="5" t="str">
        <f>"2022113215"</f>
        <v>2022113215</v>
      </c>
      <c r="C947" s="5" t="str">
        <f t="shared" si="59"/>
        <v>32</v>
      </c>
      <c r="D947" s="5" t="str">
        <f>"15"</f>
        <v>15</v>
      </c>
      <c r="E947" s="6">
        <v>124.5</v>
      </c>
      <c r="F947" s="6">
        <v>93.6</v>
      </c>
      <c r="G947" s="6">
        <v>72.7</v>
      </c>
      <c r="H947" s="6" t="s">
        <v>9</v>
      </c>
    </row>
    <row r="948" ht="20.1" customHeight="1" spans="1:8">
      <c r="A948" s="5" t="str">
        <f t="shared" si="60"/>
        <v>221009</v>
      </c>
      <c r="B948" s="5" t="str">
        <f>"2022113216"</f>
        <v>2022113216</v>
      </c>
      <c r="C948" s="5" t="str">
        <f t="shared" si="59"/>
        <v>32</v>
      </c>
      <c r="D948" s="5" t="str">
        <f>"16"</f>
        <v>16</v>
      </c>
      <c r="E948" s="6">
        <v>0</v>
      </c>
      <c r="F948" s="6">
        <v>0</v>
      </c>
      <c r="G948" s="6">
        <v>0</v>
      </c>
      <c r="H948" s="6" t="s">
        <v>10</v>
      </c>
    </row>
    <row r="949" ht="20.1" customHeight="1" spans="1:8">
      <c r="A949" s="5" t="str">
        <f t="shared" si="60"/>
        <v>221009</v>
      </c>
      <c r="B949" s="5" t="str">
        <f>"2022113217"</f>
        <v>2022113217</v>
      </c>
      <c r="C949" s="5" t="str">
        <f t="shared" si="59"/>
        <v>32</v>
      </c>
      <c r="D949" s="5" t="str">
        <f>"17"</f>
        <v>17</v>
      </c>
      <c r="E949" s="6">
        <v>0</v>
      </c>
      <c r="F949" s="6">
        <v>0</v>
      </c>
      <c r="G949" s="6">
        <v>0</v>
      </c>
      <c r="H949" s="6" t="s">
        <v>10</v>
      </c>
    </row>
    <row r="950" ht="20.1" customHeight="1" spans="1:8">
      <c r="A950" s="5" t="str">
        <f t="shared" si="60"/>
        <v>221009</v>
      </c>
      <c r="B950" s="5" t="str">
        <f>"2022113218"</f>
        <v>2022113218</v>
      </c>
      <c r="C950" s="5" t="str">
        <f t="shared" si="59"/>
        <v>32</v>
      </c>
      <c r="D950" s="5" t="str">
        <f>"18"</f>
        <v>18</v>
      </c>
      <c r="E950" s="6">
        <v>108</v>
      </c>
      <c r="F950" s="6">
        <v>108.3</v>
      </c>
      <c r="G950" s="6">
        <v>72.1</v>
      </c>
      <c r="H950" s="6" t="s">
        <v>9</v>
      </c>
    </row>
    <row r="951" ht="20.1" customHeight="1" spans="1:8">
      <c r="A951" s="5" t="str">
        <f t="shared" si="60"/>
        <v>221009</v>
      </c>
      <c r="B951" s="5" t="str">
        <f>"2022113219"</f>
        <v>2022113219</v>
      </c>
      <c r="C951" s="5" t="str">
        <f t="shared" si="59"/>
        <v>32</v>
      </c>
      <c r="D951" s="5" t="str">
        <f>"19"</f>
        <v>19</v>
      </c>
      <c r="E951" s="6">
        <v>0</v>
      </c>
      <c r="F951" s="6">
        <v>0</v>
      </c>
      <c r="G951" s="6">
        <v>0</v>
      </c>
      <c r="H951" s="6" t="s">
        <v>10</v>
      </c>
    </row>
    <row r="952" ht="20.1" customHeight="1" spans="1:8">
      <c r="A952" s="5" t="str">
        <f t="shared" si="60"/>
        <v>221009</v>
      </c>
      <c r="B952" s="5" t="str">
        <f>"2022113220"</f>
        <v>2022113220</v>
      </c>
      <c r="C952" s="5" t="str">
        <f t="shared" si="59"/>
        <v>32</v>
      </c>
      <c r="D952" s="5" t="str">
        <f>"20"</f>
        <v>20</v>
      </c>
      <c r="E952" s="6">
        <v>91.5</v>
      </c>
      <c r="F952" s="6">
        <v>106.1</v>
      </c>
      <c r="G952" s="6">
        <v>65.8666666666667</v>
      </c>
      <c r="H952" s="6" t="s">
        <v>9</v>
      </c>
    </row>
    <row r="953" ht="20.1" customHeight="1" spans="1:8">
      <c r="A953" s="5" t="str">
        <f t="shared" si="60"/>
        <v>221009</v>
      </c>
      <c r="B953" s="5" t="str">
        <f>"2022113221"</f>
        <v>2022113221</v>
      </c>
      <c r="C953" s="5" t="str">
        <f t="shared" si="59"/>
        <v>32</v>
      </c>
      <c r="D953" s="5" t="str">
        <f>"21"</f>
        <v>21</v>
      </c>
      <c r="E953" s="6">
        <v>0</v>
      </c>
      <c r="F953" s="6">
        <v>0</v>
      </c>
      <c r="G953" s="6">
        <v>0</v>
      </c>
      <c r="H953" s="6" t="s">
        <v>10</v>
      </c>
    </row>
    <row r="954" ht="20.1" customHeight="1" spans="1:8">
      <c r="A954" s="5" t="str">
        <f t="shared" si="60"/>
        <v>221009</v>
      </c>
      <c r="B954" s="5" t="str">
        <f>"2022113222"</f>
        <v>2022113222</v>
      </c>
      <c r="C954" s="5" t="str">
        <f t="shared" si="59"/>
        <v>32</v>
      </c>
      <c r="D954" s="5" t="str">
        <f>"22"</f>
        <v>22</v>
      </c>
      <c r="E954" s="6">
        <v>0</v>
      </c>
      <c r="F954" s="6">
        <v>0</v>
      </c>
      <c r="G954" s="6">
        <v>0</v>
      </c>
      <c r="H954" s="6" t="s">
        <v>10</v>
      </c>
    </row>
    <row r="955" ht="20.1" customHeight="1" spans="1:8">
      <c r="A955" s="5" t="str">
        <f t="shared" si="60"/>
        <v>221009</v>
      </c>
      <c r="B955" s="5" t="str">
        <f>"2022113223"</f>
        <v>2022113223</v>
      </c>
      <c r="C955" s="5" t="str">
        <f t="shared" si="59"/>
        <v>32</v>
      </c>
      <c r="D955" s="5" t="str">
        <f>"23"</f>
        <v>23</v>
      </c>
      <c r="E955" s="6">
        <v>0</v>
      </c>
      <c r="F955" s="6">
        <v>0</v>
      </c>
      <c r="G955" s="6">
        <v>0</v>
      </c>
      <c r="H955" s="6" t="s">
        <v>10</v>
      </c>
    </row>
    <row r="956" ht="20.1" customHeight="1" spans="1:8">
      <c r="A956" s="5" t="str">
        <f t="shared" si="60"/>
        <v>221009</v>
      </c>
      <c r="B956" s="5" t="str">
        <f>"2022113224"</f>
        <v>2022113224</v>
      </c>
      <c r="C956" s="5" t="str">
        <f t="shared" si="59"/>
        <v>32</v>
      </c>
      <c r="D956" s="5" t="str">
        <f>"24"</f>
        <v>24</v>
      </c>
      <c r="E956" s="6">
        <v>0</v>
      </c>
      <c r="F956" s="6">
        <v>0</v>
      </c>
      <c r="G956" s="6">
        <v>0</v>
      </c>
      <c r="H956" s="6" t="s">
        <v>10</v>
      </c>
    </row>
    <row r="957" ht="20.1" customHeight="1" spans="1:8">
      <c r="A957" s="5" t="str">
        <f t="shared" si="60"/>
        <v>221009</v>
      </c>
      <c r="B957" s="5" t="str">
        <f>"2022113225"</f>
        <v>2022113225</v>
      </c>
      <c r="C957" s="5" t="str">
        <f t="shared" si="59"/>
        <v>32</v>
      </c>
      <c r="D957" s="5" t="str">
        <f>"25"</f>
        <v>25</v>
      </c>
      <c r="E957" s="6">
        <v>0</v>
      </c>
      <c r="F957" s="6">
        <v>0</v>
      </c>
      <c r="G957" s="6">
        <v>0</v>
      </c>
      <c r="H957" s="6" t="s">
        <v>10</v>
      </c>
    </row>
    <row r="958" ht="20.1" customHeight="1" spans="1:8">
      <c r="A958" s="5" t="str">
        <f t="shared" si="60"/>
        <v>221009</v>
      </c>
      <c r="B958" s="5" t="str">
        <f>"2022113226"</f>
        <v>2022113226</v>
      </c>
      <c r="C958" s="5" t="str">
        <f t="shared" si="59"/>
        <v>32</v>
      </c>
      <c r="D958" s="5" t="str">
        <f>"26"</f>
        <v>26</v>
      </c>
      <c r="E958" s="6">
        <v>0</v>
      </c>
      <c r="F958" s="6">
        <v>0</v>
      </c>
      <c r="G958" s="6">
        <v>0</v>
      </c>
      <c r="H958" s="6" t="s">
        <v>10</v>
      </c>
    </row>
    <row r="959" ht="20.1" customHeight="1" spans="1:8">
      <c r="A959" s="5" t="str">
        <f t="shared" si="60"/>
        <v>221009</v>
      </c>
      <c r="B959" s="5" t="str">
        <f>"2022113227"</f>
        <v>2022113227</v>
      </c>
      <c r="C959" s="5" t="str">
        <f t="shared" si="59"/>
        <v>32</v>
      </c>
      <c r="D959" s="5" t="str">
        <f>"27"</f>
        <v>27</v>
      </c>
      <c r="E959" s="6">
        <v>0</v>
      </c>
      <c r="F959" s="6">
        <v>0</v>
      </c>
      <c r="G959" s="6">
        <v>0</v>
      </c>
      <c r="H959" s="6" t="s">
        <v>10</v>
      </c>
    </row>
    <row r="960" ht="20.1" customHeight="1" spans="1:8">
      <c r="A960" s="5" t="str">
        <f t="shared" si="60"/>
        <v>221009</v>
      </c>
      <c r="B960" s="5" t="str">
        <f>"2022113228"</f>
        <v>2022113228</v>
      </c>
      <c r="C960" s="5" t="str">
        <f t="shared" si="59"/>
        <v>32</v>
      </c>
      <c r="D960" s="5" t="str">
        <f>"28"</f>
        <v>28</v>
      </c>
      <c r="E960" s="6">
        <v>115.5</v>
      </c>
      <c r="F960" s="6">
        <v>100.8</v>
      </c>
      <c r="G960" s="6">
        <v>72.1</v>
      </c>
      <c r="H960" s="6" t="s">
        <v>9</v>
      </c>
    </row>
    <row r="961" ht="20.1" customHeight="1" spans="1:8">
      <c r="A961" s="5" t="str">
        <f t="shared" si="60"/>
        <v>221009</v>
      </c>
      <c r="B961" s="5" t="str">
        <f>"2022113229"</f>
        <v>2022113229</v>
      </c>
      <c r="C961" s="5" t="str">
        <f t="shared" si="59"/>
        <v>32</v>
      </c>
      <c r="D961" s="5" t="str">
        <f>"29"</f>
        <v>29</v>
      </c>
      <c r="E961" s="6">
        <v>106.5</v>
      </c>
      <c r="F961" s="6">
        <v>93.4</v>
      </c>
      <c r="G961" s="6">
        <v>66.6333333333333</v>
      </c>
      <c r="H961" s="6" t="s">
        <v>9</v>
      </c>
    </row>
    <row r="962" ht="20.1" customHeight="1" spans="1:8">
      <c r="A962" s="5" t="str">
        <f t="shared" si="60"/>
        <v>221009</v>
      </c>
      <c r="B962" s="5" t="str">
        <f>"2022113230"</f>
        <v>2022113230</v>
      </c>
      <c r="C962" s="5" t="str">
        <f t="shared" si="59"/>
        <v>32</v>
      </c>
      <c r="D962" s="5" t="str">
        <f>"30"</f>
        <v>30</v>
      </c>
      <c r="E962" s="6">
        <v>114</v>
      </c>
      <c r="F962" s="6">
        <v>113.3</v>
      </c>
      <c r="G962" s="6">
        <v>75.7666666666667</v>
      </c>
      <c r="H962" s="6" t="s">
        <v>9</v>
      </c>
    </row>
    <row r="963" ht="20.1" customHeight="1" spans="1:8">
      <c r="A963" s="5" t="str">
        <f t="shared" si="60"/>
        <v>221009</v>
      </c>
      <c r="B963" s="5" t="str">
        <f>"2022113301"</f>
        <v>2022113301</v>
      </c>
      <c r="C963" s="5" t="str">
        <f t="shared" ref="C963:C992" si="61">"33"</f>
        <v>33</v>
      </c>
      <c r="D963" s="5" t="str">
        <f>"01"</f>
        <v>01</v>
      </c>
      <c r="E963" s="6">
        <v>0</v>
      </c>
      <c r="F963" s="6">
        <v>0</v>
      </c>
      <c r="G963" s="6">
        <v>0</v>
      </c>
      <c r="H963" s="6" t="s">
        <v>10</v>
      </c>
    </row>
    <row r="964" ht="20.1" customHeight="1" spans="1:8">
      <c r="A964" s="5" t="str">
        <f t="shared" si="60"/>
        <v>221009</v>
      </c>
      <c r="B964" s="5" t="str">
        <f>"2022113302"</f>
        <v>2022113302</v>
      </c>
      <c r="C964" s="5" t="str">
        <f t="shared" si="61"/>
        <v>33</v>
      </c>
      <c r="D964" s="5" t="str">
        <f>"02"</f>
        <v>02</v>
      </c>
      <c r="E964" s="6">
        <v>0</v>
      </c>
      <c r="F964" s="6">
        <v>0</v>
      </c>
      <c r="G964" s="6">
        <v>0</v>
      </c>
      <c r="H964" s="6" t="s">
        <v>10</v>
      </c>
    </row>
    <row r="965" ht="20.1" customHeight="1" spans="1:8">
      <c r="A965" s="5" t="str">
        <f t="shared" si="60"/>
        <v>221009</v>
      </c>
      <c r="B965" s="5" t="str">
        <f>"2022113303"</f>
        <v>2022113303</v>
      </c>
      <c r="C965" s="5" t="str">
        <f t="shared" si="61"/>
        <v>33</v>
      </c>
      <c r="D965" s="5" t="str">
        <f>"03"</f>
        <v>03</v>
      </c>
      <c r="E965" s="6">
        <v>99</v>
      </c>
      <c r="F965" s="6">
        <v>95.9</v>
      </c>
      <c r="G965" s="6">
        <v>64.9666666666667</v>
      </c>
      <c r="H965" s="6" t="s">
        <v>9</v>
      </c>
    </row>
    <row r="966" ht="20.1" customHeight="1" spans="1:8">
      <c r="A966" s="5" t="str">
        <f t="shared" si="60"/>
        <v>221009</v>
      </c>
      <c r="B966" s="5" t="str">
        <f>"2022113304"</f>
        <v>2022113304</v>
      </c>
      <c r="C966" s="5" t="str">
        <f t="shared" si="61"/>
        <v>33</v>
      </c>
      <c r="D966" s="5" t="str">
        <f>"04"</f>
        <v>04</v>
      </c>
      <c r="E966" s="6">
        <v>115.5</v>
      </c>
      <c r="F966" s="6">
        <v>112</v>
      </c>
      <c r="G966" s="6">
        <v>75.8333333333333</v>
      </c>
      <c r="H966" s="6" t="s">
        <v>9</v>
      </c>
    </row>
    <row r="967" ht="20.1" customHeight="1" spans="1:8">
      <c r="A967" s="5" t="str">
        <f t="shared" si="60"/>
        <v>221009</v>
      </c>
      <c r="B967" s="5" t="str">
        <f>"2022113305"</f>
        <v>2022113305</v>
      </c>
      <c r="C967" s="5" t="str">
        <f t="shared" si="61"/>
        <v>33</v>
      </c>
      <c r="D967" s="5" t="str">
        <f>"05"</f>
        <v>05</v>
      </c>
      <c r="E967" s="6">
        <v>118.5</v>
      </c>
      <c r="F967" s="6">
        <v>114.5</v>
      </c>
      <c r="G967" s="6">
        <v>77.6666666666667</v>
      </c>
      <c r="H967" s="6" t="s">
        <v>9</v>
      </c>
    </row>
    <row r="968" ht="20.1" customHeight="1" spans="1:8">
      <c r="A968" s="5" t="str">
        <f t="shared" si="60"/>
        <v>221009</v>
      </c>
      <c r="B968" s="5" t="str">
        <f>"2022113306"</f>
        <v>2022113306</v>
      </c>
      <c r="C968" s="5" t="str">
        <f t="shared" si="61"/>
        <v>33</v>
      </c>
      <c r="D968" s="5" t="str">
        <f>"06"</f>
        <v>06</v>
      </c>
      <c r="E968" s="6">
        <v>0</v>
      </c>
      <c r="F968" s="6">
        <v>0</v>
      </c>
      <c r="G968" s="6">
        <v>0</v>
      </c>
      <c r="H968" s="6" t="s">
        <v>10</v>
      </c>
    </row>
    <row r="969" ht="20.1" customHeight="1" spans="1:8">
      <c r="A969" s="5" t="str">
        <f t="shared" si="60"/>
        <v>221009</v>
      </c>
      <c r="B969" s="5" t="str">
        <f>"2022113307"</f>
        <v>2022113307</v>
      </c>
      <c r="C969" s="5" t="str">
        <f t="shared" si="61"/>
        <v>33</v>
      </c>
      <c r="D969" s="5" t="str">
        <f>"07"</f>
        <v>07</v>
      </c>
      <c r="E969" s="6">
        <v>108</v>
      </c>
      <c r="F969" s="6">
        <v>81</v>
      </c>
      <c r="G969" s="6">
        <v>63</v>
      </c>
      <c r="H969" s="6" t="s">
        <v>9</v>
      </c>
    </row>
    <row r="970" ht="20.1" customHeight="1" spans="1:8">
      <c r="A970" s="5" t="str">
        <f t="shared" si="60"/>
        <v>221009</v>
      </c>
      <c r="B970" s="5" t="str">
        <f>"2022113308"</f>
        <v>2022113308</v>
      </c>
      <c r="C970" s="5" t="str">
        <f t="shared" si="61"/>
        <v>33</v>
      </c>
      <c r="D970" s="5" t="str">
        <f>"08"</f>
        <v>08</v>
      </c>
      <c r="E970" s="6">
        <v>108</v>
      </c>
      <c r="F970" s="6">
        <v>113.5</v>
      </c>
      <c r="G970" s="6">
        <v>73.8333333333333</v>
      </c>
      <c r="H970" s="6" t="s">
        <v>9</v>
      </c>
    </row>
    <row r="971" ht="20.1" customHeight="1" spans="1:8">
      <c r="A971" s="5" t="str">
        <f t="shared" si="60"/>
        <v>221009</v>
      </c>
      <c r="B971" s="5" t="str">
        <f>"2022113309"</f>
        <v>2022113309</v>
      </c>
      <c r="C971" s="5" t="str">
        <f t="shared" si="61"/>
        <v>33</v>
      </c>
      <c r="D971" s="5" t="str">
        <f>"09"</f>
        <v>09</v>
      </c>
      <c r="E971" s="6">
        <v>103.5</v>
      </c>
      <c r="F971" s="6">
        <v>89.9</v>
      </c>
      <c r="G971" s="6">
        <v>64.4666666666667</v>
      </c>
      <c r="H971" s="6" t="s">
        <v>9</v>
      </c>
    </row>
    <row r="972" ht="20.1" customHeight="1" spans="1:8">
      <c r="A972" s="5" t="str">
        <f t="shared" si="60"/>
        <v>221009</v>
      </c>
      <c r="B972" s="5" t="str">
        <f>"2022113310"</f>
        <v>2022113310</v>
      </c>
      <c r="C972" s="5" t="str">
        <f t="shared" si="61"/>
        <v>33</v>
      </c>
      <c r="D972" s="5" t="str">
        <f>"10"</f>
        <v>10</v>
      </c>
      <c r="E972" s="6">
        <v>117</v>
      </c>
      <c r="F972" s="6">
        <v>106.5</v>
      </c>
      <c r="G972" s="6">
        <v>74.5</v>
      </c>
      <c r="H972" s="6" t="s">
        <v>9</v>
      </c>
    </row>
    <row r="973" ht="20.1" customHeight="1" spans="1:8">
      <c r="A973" s="5" t="str">
        <f t="shared" ref="A973:A1004" si="62">"221009"</f>
        <v>221009</v>
      </c>
      <c r="B973" s="5" t="str">
        <f>"2022113311"</f>
        <v>2022113311</v>
      </c>
      <c r="C973" s="5" t="str">
        <f t="shared" si="61"/>
        <v>33</v>
      </c>
      <c r="D973" s="5" t="str">
        <f>"11"</f>
        <v>11</v>
      </c>
      <c r="E973" s="6">
        <v>99</v>
      </c>
      <c r="F973" s="6">
        <v>116.3</v>
      </c>
      <c r="G973" s="6">
        <v>71.7666666666667</v>
      </c>
      <c r="H973" s="6" t="s">
        <v>9</v>
      </c>
    </row>
    <row r="974" ht="20.1" customHeight="1" spans="1:8">
      <c r="A974" s="5" t="str">
        <f t="shared" si="62"/>
        <v>221009</v>
      </c>
      <c r="B974" s="5" t="str">
        <f>"2022113312"</f>
        <v>2022113312</v>
      </c>
      <c r="C974" s="5" t="str">
        <f t="shared" si="61"/>
        <v>33</v>
      </c>
      <c r="D974" s="5" t="str">
        <f>"12"</f>
        <v>12</v>
      </c>
      <c r="E974" s="6">
        <v>0</v>
      </c>
      <c r="F974" s="6">
        <v>0</v>
      </c>
      <c r="G974" s="6">
        <v>0</v>
      </c>
      <c r="H974" s="6" t="s">
        <v>10</v>
      </c>
    </row>
    <row r="975" ht="20.1" customHeight="1" spans="1:8">
      <c r="A975" s="5" t="str">
        <f t="shared" si="62"/>
        <v>221009</v>
      </c>
      <c r="B975" s="5" t="str">
        <f>"2022113313"</f>
        <v>2022113313</v>
      </c>
      <c r="C975" s="5" t="str">
        <f t="shared" si="61"/>
        <v>33</v>
      </c>
      <c r="D975" s="5" t="str">
        <f>"13"</f>
        <v>13</v>
      </c>
      <c r="E975" s="6">
        <v>108</v>
      </c>
      <c r="F975" s="6">
        <v>111</v>
      </c>
      <c r="G975" s="6">
        <v>73</v>
      </c>
      <c r="H975" s="6" t="s">
        <v>9</v>
      </c>
    </row>
    <row r="976" ht="20.1" customHeight="1" spans="1:8">
      <c r="A976" s="5" t="str">
        <f t="shared" si="62"/>
        <v>221009</v>
      </c>
      <c r="B976" s="5" t="str">
        <f>"2022113314"</f>
        <v>2022113314</v>
      </c>
      <c r="C976" s="5" t="str">
        <f t="shared" si="61"/>
        <v>33</v>
      </c>
      <c r="D976" s="5" t="str">
        <f>"14"</f>
        <v>14</v>
      </c>
      <c r="E976" s="6">
        <v>0</v>
      </c>
      <c r="F976" s="6">
        <v>0</v>
      </c>
      <c r="G976" s="6">
        <v>0</v>
      </c>
      <c r="H976" s="6" t="s">
        <v>10</v>
      </c>
    </row>
    <row r="977" ht="20.1" customHeight="1" spans="1:8">
      <c r="A977" s="5" t="str">
        <f t="shared" si="62"/>
        <v>221009</v>
      </c>
      <c r="B977" s="5" t="str">
        <f>"2022113315"</f>
        <v>2022113315</v>
      </c>
      <c r="C977" s="5" t="str">
        <f t="shared" si="61"/>
        <v>33</v>
      </c>
      <c r="D977" s="5" t="str">
        <f>"15"</f>
        <v>15</v>
      </c>
      <c r="E977" s="6">
        <v>94.5</v>
      </c>
      <c r="F977" s="6">
        <v>103.9</v>
      </c>
      <c r="G977" s="6">
        <v>66.1333333333333</v>
      </c>
      <c r="H977" s="6" t="s">
        <v>9</v>
      </c>
    </row>
    <row r="978" ht="20.1" customHeight="1" spans="1:8">
      <c r="A978" s="5" t="str">
        <f t="shared" si="62"/>
        <v>221009</v>
      </c>
      <c r="B978" s="5" t="str">
        <f>"2022113316"</f>
        <v>2022113316</v>
      </c>
      <c r="C978" s="5" t="str">
        <f t="shared" si="61"/>
        <v>33</v>
      </c>
      <c r="D978" s="5" t="str">
        <f>"16"</f>
        <v>16</v>
      </c>
      <c r="E978" s="6">
        <v>121.5</v>
      </c>
      <c r="F978" s="6">
        <v>102.8</v>
      </c>
      <c r="G978" s="6">
        <v>74.7666666666667</v>
      </c>
      <c r="H978" s="6" t="s">
        <v>9</v>
      </c>
    </row>
    <row r="979" ht="20.1" customHeight="1" spans="1:8">
      <c r="A979" s="5" t="str">
        <f t="shared" si="62"/>
        <v>221009</v>
      </c>
      <c r="B979" s="5" t="str">
        <f>"2022113317"</f>
        <v>2022113317</v>
      </c>
      <c r="C979" s="5" t="str">
        <f t="shared" si="61"/>
        <v>33</v>
      </c>
      <c r="D979" s="5" t="str">
        <f>"17"</f>
        <v>17</v>
      </c>
      <c r="E979" s="6">
        <v>112.5</v>
      </c>
      <c r="F979" s="6">
        <v>115.5</v>
      </c>
      <c r="G979" s="6">
        <v>76</v>
      </c>
      <c r="H979" s="6" t="s">
        <v>9</v>
      </c>
    </row>
    <row r="980" ht="20.1" customHeight="1" spans="1:8">
      <c r="A980" s="5" t="str">
        <f t="shared" si="62"/>
        <v>221009</v>
      </c>
      <c r="B980" s="5" t="str">
        <f>"2022113318"</f>
        <v>2022113318</v>
      </c>
      <c r="C980" s="5" t="str">
        <f t="shared" si="61"/>
        <v>33</v>
      </c>
      <c r="D980" s="5" t="str">
        <f>"18"</f>
        <v>18</v>
      </c>
      <c r="E980" s="6">
        <v>0</v>
      </c>
      <c r="F980" s="6">
        <v>0</v>
      </c>
      <c r="G980" s="6">
        <v>0</v>
      </c>
      <c r="H980" s="6" t="s">
        <v>10</v>
      </c>
    </row>
    <row r="981" ht="20.1" customHeight="1" spans="1:8">
      <c r="A981" s="5" t="str">
        <f t="shared" si="62"/>
        <v>221009</v>
      </c>
      <c r="B981" s="5" t="str">
        <f>"2022113319"</f>
        <v>2022113319</v>
      </c>
      <c r="C981" s="5" t="str">
        <f t="shared" si="61"/>
        <v>33</v>
      </c>
      <c r="D981" s="5" t="str">
        <f>"19"</f>
        <v>19</v>
      </c>
      <c r="E981" s="6">
        <v>105</v>
      </c>
      <c r="F981" s="6">
        <v>91.2</v>
      </c>
      <c r="G981" s="6">
        <v>65.4</v>
      </c>
      <c r="H981" s="6" t="s">
        <v>9</v>
      </c>
    </row>
    <row r="982" ht="20.1" customHeight="1" spans="1:8">
      <c r="A982" s="5" t="str">
        <f t="shared" si="62"/>
        <v>221009</v>
      </c>
      <c r="B982" s="5" t="str">
        <f>"2022113320"</f>
        <v>2022113320</v>
      </c>
      <c r="C982" s="5" t="str">
        <f t="shared" si="61"/>
        <v>33</v>
      </c>
      <c r="D982" s="5" t="str">
        <f>"20"</f>
        <v>20</v>
      </c>
      <c r="E982" s="6">
        <v>115.5</v>
      </c>
      <c r="F982" s="6">
        <v>108.9</v>
      </c>
      <c r="G982" s="6">
        <v>74.8</v>
      </c>
      <c r="H982" s="6" t="s">
        <v>9</v>
      </c>
    </row>
    <row r="983" ht="20.1" customHeight="1" spans="1:8">
      <c r="A983" s="5" t="str">
        <f t="shared" si="62"/>
        <v>221009</v>
      </c>
      <c r="B983" s="5" t="str">
        <f>"2022113321"</f>
        <v>2022113321</v>
      </c>
      <c r="C983" s="5" t="str">
        <f t="shared" si="61"/>
        <v>33</v>
      </c>
      <c r="D983" s="5" t="str">
        <f>"21"</f>
        <v>21</v>
      </c>
      <c r="E983" s="6">
        <v>96</v>
      </c>
      <c r="F983" s="6">
        <v>108.7</v>
      </c>
      <c r="G983" s="6">
        <v>68.2333333333333</v>
      </c>
      <c r="H983" s="6" t="s">
        <v>9</v>
      </c>
    </row>
    <row r="984" ht="20.1" customHeight="1" spans="1:8">
      <c r="A984" s="5" t="str">
        <f t="shared" si="62"/>
        <v>221009</v>
      </c>
      <c r="B984" s="5" t="str">
        <f>"2022113322"</f>
        <v>2022113322</v>
      </c>
      <c r="C984" s="5" t="str">
        <f t="shared" si="61"/>
        <v>33</v>
      </c>
      <c r="D984" s="5" t="str">
        <f>"22"</f>
        <v>22</v>
      </c>
      <c r="E984" s="6">
        <v>0</v>
      </c>
      <c r="F984" s="6">
        <v>0</v>
      </c>
      <c r="G984" s="6">
        <v>0</v>
      </c>
      <c r="H984" s="6" t="s">
        <v>10</v>
      </c>
    </row>
    <row r="985" ht="20.1" customHeight="1" spans="1:8">
      <c r="A985" s="5" t="str">
        <f t="shared" si="62"/>
        <v>221009</v>
      </c>
      <c r="B985" s="5" t="str">
        <f>"2022113323"</f>
        <v>2022113323</v>
      </c>
      <c r="C985" s="5" t="str">
        <f t="shared" si="61"/>
        <v>33</v>
      </c>
      <c r="D985" s="5" t="str">
        <f>"23"</f>
        <v>23</v>
      </c>
      <c r="E985" s="6">
        <v>108</v>
      </c>
      <c r="F985" s="6">
        <v>81.9</v>
      </c>
      <c r="G985" s="6">
        <v>63.3</v>
      </c>
      <c r="H985" s="6" t="s">
        <v>9</v>
      </c>
    </row>
    <row r="986" ht="20.1" customHeight="1" spans="1:8">
      <c r="A986" s="5" t="str">
        <f t="shared" si="62"/>
        <v>221009</v>
      </c>
      <c r="B986" s="5" t="str">
        <f>"2022113324"</f>
        <v>2022113324</v>
      </c>
      <c r="C986" s="5" t="str">
        <f t="shared" si="61"/>
        <v>33</v>
      </c>
      <c r="D986" s="5" t="str">
        <f>"24"</f>
        <v>24</v>
      </c>
      <c r="E986" s="6">
        <v>121.5</v>
      </c>
      <c r="F986" s="6">
        <v>103.4</v>
      </c>
      <c r="G986" s="6">
        <v>74.9666666666667</v>
      </c>
      <c r="H986" s="6" t="s">
        <v>9</v>
      </c>
    </row>
    <row r="987" ht="20.1" customHeight="1" spans="1:8">
      <c r="A987" s="5" t="str">
        <f t="shared" si="62"/>
        <v>221009</v>
      </c>
      <c r="B987" s="5" t="str">
        <f>"2022113325"</f>
        <v>2022113325</v>
      </c>
      <c r="C987" s="5" t="str">
        <f t="shared" si="61"/>
        <v>33</v>
      </c>
      <c r="D987" s="5" t="str">
        <f>"25"</f>
        <v>25</v>
      </c>
      <c r="E987" s="6">
        <v>0</v>
      </c>
      <c r="F987" s="6">
        <v>0</v>
      </c>
      <c r="G987" s="6">
        <v>0</v>
      </c>
      <c r="H987" s="6" t="s">
        <v>10</v>
      </c>
    </row>
    <row r="988" ht="20.1" customHeight="1" spans="1:8">
      <c r="A988" s="5" t="str">
        <f t="shared" si="62"/>
        <v>221009</v>
      </c>
      <c r="B988" s="5" t="str">
        <f>"2022113326"</f>
        <v>2022113326</v>
      </c>
      <c r="C988" s="5" t="str">
        <f t="shared" si="61"/>
        <v>33</v>
      </c>
      <c r="D988" s="5" t="str">
        <f>"26"</f>
        <v>26</v>
      </c>
      <c r="E988" s="6">
        <v>114</v>
      </c>
      <c r="F988" s="6">
        <v>86.8</v>
      </c>
      <c r="G988" s="6">
        <v>66.9333333333333</v>
      </c>
      <c r="H988" s="6" t="s">
        <v>9</v>
      </c>
    </row>
    <row r="989" ht="20.1" customHeight="1" spans="1:8">
      <c r="A989" s="5" t="str">
        <f t="shared" si="62"/>
        <v>221009</v>
      </c>
      <c r="B989" s="5" t="str">
        <f>"2022113327"</f>
        <v>2022113327</v>
      </c>
      <c r="C989" s="5" t="str">
        <f t="shared" si="61"/>
        <v>33</v>
      </c>
      <c r="D989" s="5" t="str">
        <f>"27"</f>
        <v>27</v>
      </c>
      <c r="E989" s="6">
        <v>117</v>
      </c>
      <c r="F989" s="6">
        <v>110.5</v>
      </c>
      <c r="G989" s="6">
        <v>75.8333333333333</v>
      </c>
      <c r="H989" s="6" t="s">
        <v>9</v>
      </c>
    </row>
    <row r="990" ht="20.1" customHeight="1" spans="1:8">
      <c r="A990" s="5" t="str">
        <f t="shared" si="62"/>
        <v>221009</v>
      </c>
      <c r="B990" s="5" t="str">
        <f>"2022113328"</f>
        <v>2022113328</v>
      </c>
      <c r="C990" s="5" t="str">
        <f t="shared" si="61"/>
        <v>33</v>
      </c>
      <c r="D990" s="5" t="str">
        <f>"28"</f>
        <v>28</v>
      </c>
      <c r="E990" s="6">
        <v>96</v>
      </c>
      <c r="F990" s="6">
        <v>112</v>
      </c>
      <c r="G990" s="6">
        <v>69.3333333333333</v>
      </c>
      <c r="H990" s="6" t="s">
        <v>9</v>
      </c>
    </row>
    <row r="991" ht="20.1" customHeight="1" spans="1:8">
      <c r="A991" s="5" t="str">
        <f t="shared" si="62"/>
        <v>221009</v>
      </c>
      <c r="B991" s="5" t="str">
        <f>"2022113329"</f>
        <v>2022113329</v>
      </c>
      <c r="C991" s="5" t="str">
        <f t="shared" si="61"/>
        <v>33</v>
      </c>
      <c r="D991" s="5" t="str">
        <f>"29"</f>
        <v>29</v>
      </c>
      <c r="E991" s="6">
        <v>112.5</v>
      </c>
      <c r="F991" s="6">
        <v>92.5</v>
      </c>
      <c r="G991" s="6">
        <v>68.3333333333333</v>
      </c>
      <c r="H991" s="6" t="s">
        <v>9</v>
      </c>
    </row>
    <row r="992" ht="20.1" customHeight="1" spans="1:8">
      <c r="A992" s="5" t="str">
        <f t="shared" si="62"/>
        <v>221009</v>
      </c>
      <c r="B992" s="5" t="str">
        <f>"2022113330"</f>
        <v>2022113330</v>
      </c>
      <c r="C992" s="5" t="str">
        <f t="shared" si="61"/>
        <v>33</v>
      </c>
      <c r="D992" s="5" t="str">
        <f>"30"</f>
        <v>30</v>
      </c>
      <c r="E992" s="6">
        <v>0</v>
      </c>
      <c r="F992" s="6">
        <v>0</v>
      </c>
      <c r="G992" s="6">
        <v>0</v>
      </c>
      <c r="H992" s="6" t="s">
        <v>10</v>
      </c>
    </row>
    <row r="993" ht="20.1" customHeight="1" spans="1:8">
      <c r="A993" s="5" t="str">
        <f t="shared" si="62"/>
        <v>221009</v>
      </c>
      <c r="B993" s="5" t="str">
        <f>"2022113401"</f>
        <v>2022113401</v>
      </c>
      <c r="C993" s="5" t="str">
        <f t="shared" ref="C993:C1022" si="63">"34"</f>
        <v>34</v>
      </c>
      <c r="D993" s="5" t="str">
        <f>"01"</f>
        <v>01</v>
      </c>
      <c r="E993" s="6">
        <v>102</v>
      </c>
      <c r="F993" s="6">
        <v>113.4</v>
      </c>
      <c r="G993" s="6">
        <v>71.8</v>
      </c>
      <c r="H993" s="6" t="s">
        <v>9</v>
      </c>
    </row>
    <row r="994" ht="20.1" customHeight="1" spans="1:8">
      <c r="A994" s="5" t="str">
        <f t="shared" si="62"/>
        <v>221009</v>
      </c>
      <c r="B994" s="5" t="str">
        <f>"2022113402"</f>
        <v>2022113402</v>
      </c>
      <c r="C994" s="5" t="str">
        <f t="shared" si="63"/>
        <v>34</v>
      </c>
      <c r="D994" s="5" t="str">
        <f>"02"</f>
        <v>02</v>
      </c>
      <c r="E994" s="6">
        <v>91.5</v>
      </c>
      <c r="F994" s="6">
        <v>104.4</v>
      </c>
      <c r="G994" s="6">
        <v>65.3</v>
      </c>
      <c r="H994" s="6" t="s">
        <v>9</v>
      </c>
    </row>
    <row r="995" ht="20.1" customHeight="1" spans="1:8">
      <c r="A995" s="5" t="str">
        <f t="shared" si="62"/>
        <v>221009</v>
      </c>
      <c r="B995" s="5" t="str">
        <f>"2022113403"</f>
        <v>2022113403</v>
      </c>
      <c r="C995" s="5" t="str">
        <f t="shared" si="63"/>
        <v>34</v>
      </c>
      <c r="D995" s="5" t="str">
        <f>"03"</f>
        <v>03</v>
      </c>
      <c r="E995" s="6">
        <v>126</v>
      </c>
      <c r="F995" s="6">
        <v>110.2</v>
      </c>
      <c r="G995" s="6">
        <v>78.7333333333333</v>
      </c>
      <c r="H995" s="6" t="s">
        <v>9</v>
      </c>
    </row>
    <row r="996" ht="20.1" customHeight="1" spans="1:8">
      <c r="A996" s="5" t="str">
        <f t="shared" si="62"/>
        <v>221009</v>
      </c>
      <c r="B996" s="5" t="str">
        <f>"2022113404"</f>
        <v>2022113404</v>
      </c>
      <c r="C996" s="5" t="str">
        <f t="shared" si="63"/>
        <v>34</v>
      </c>
      <c r="D996" s="5" t="str">
        <f>"04"</f>
        <v>04</v>
      </c>
      <c r="E996" s="6">
        <v>0</v>
      </c>
      <c r="F996" s="6">
        <v>0</v>
      </c>
      <c r="G996" s="6">
        <v>0</v>
      </c>
      <c r="H996" s="6" t="s">
        <v>10</v>
      </c>
    </row>
    <row r="997" ht="20.1" customHeight="1" spans="1:8">
      <c r="A997" s="5" t="str">
        <f t="shared" si="62"/>
        <v>221009</v>
      </c>
      <c r="B997" s="5" t="str">
        <f>"2022113405"</f>
        <v>2022113405</v>
      </c>
      <c r="C997" s="5" t="str">
        <f t="shared" si="63"/>
        <v>34</v>
      </c>
      <c r="D997" s="5" t="str">
        <f>"05"</f>
        <v>05</v>
      </c>
      <c r="E997" s="6">
        <v>0</v>
      </c>
      <c r="F997" s="6">
        <v>0</v>
      </c>
      <c r="G997" s="6">
        <v>0</v>
      </c>
      <c r="H997" s="6" t="s">
        <v>10</v>
      </c>
    </row>
    <row r="998" ht="20.1" customHeight="1" spans="1:8">
      <c r="A998" s="5" t="str">
        <f t="shared" si="62"/>
        <v>221009</v>
      </c>
      <c r="B998" s="5" t="str">
        <f>"2022113406"</f>
        <v>2022113406</v>
      </c>
      <c r="C998" s="5" t="str">
        <f t="shared" si="63"/>
        <v>34</v>
      </c>
      <c r="D998" s="5" t="str">
        <f>"06"</f>
        <v>06</v>
      </c>
      <c r="E998" s="6">
        <v>118.5</v>
      </c>
      <c r="F998" s="6">
        <v>103.5</v>
      </c>
      <c r="G998" s="6">
        <v>74</v>
      </c>
      <c r="H998" s="6" t="s">
        <v>9</v>
      </c>
    </row>
    <row r="999" ht="20.1" customHeight="1" spans="1:8">
      <c r="A999" s="5" t="str">
        <f t="shared" si="62"/>
        <v>221009</v>
      </c>
      <c r="B999" s="5" t="str">
        <f>"2022113407"</f>
        <v>2022113407</v>
      </c>
      <c r="C999" s="5" t="str">
        <f t="shared" si="63"/>
        <v>34</v>
      </c>
      <c r="D999" s="5" t="str">
        <f>"07"</f>
        <v>07</v>
      </c>
      <c r="E999" s="6">
        <v>108</v>
      </c>
      <c r="F999" s="6">
        <v>109.5</v>
      </c>
      <c r="G999" s="6">
        <v>72.5</v>
      </c>
      <c r="H999" s="6" t="s">
        <v>9</v>
      </c>
    </row>
    <row r="1000" ht="20.1" customHeight="1" spans="1:8">
      <c r="A1000" s="5" t="str">
        <f t="shared" si="62"/>
        <v>221009</v>
      </c>
      <c r="B1000" s="5" t="str">
        <f>"2022113408"</f>
        <v>2022113408</v>
      </c>
      <c r="C1000" s="5" t="str">
        <f t="shared" si="63"/>
        <v>34</v>
      </c>
      <c r="D1000" s="5" t="str">
        <f>"08"</f>
        <v>08</v>
      </c>
      <c r="E1000" s="6">
        <v>0</v>
      </c>
      <c r="F1000" s="6">
        <v>0</v>
      </c>
      <c r="G1000" s="6">
        <v>0</v>
      </c>
      <c r="H1000" s="6" t="s">
        <v>10</v>
      </c>
    </row>
    <row r="1001" ht="20.1" customHeight="1" spans="1:8">
      <c r="A1001" s="5" t="str">
        <f t="shared" si="62"/>
        <v>221009</v>
      </c>
      <c r="B1001" s="5" t="str">
        <f>"2022113409"</f>
        <v>2022113409</v>
      </c>
      <c r="C1001" s="5" t="str">
        <f t="shared" si="63"/>
        <v>34</v>
      </c>
      <c r="D1001" s="5" t="str">
        <f>"09"</f>
        <v>09</v>
      </c>
      <c r="E1001" s="6">
        <v>111</v>
      </c>
      <c r="F1001" s="6">
        <v>93.6</v>
      </c>
      <c r="G1001" s="6">
        <v>68.2</v>
      </c>
      <c r="H1001" s="6" t="s">
        <v>9</v>
      </c>
    </row>
    <row r="1002" ht="20.1" customHeight="1" spans="1:8">
      <c r="A1002" s="5" t="str">
        <f t="shared" si="62"/>
        <v>221009</v>
      </c>
      <c r="B1002" s="5" t="str">
        <f>"2022113410"</f>
        <v>2022113410</v>
      </c>
      <c r="C1002" s="5" t="str">
        <f t="shared" si="63"/>
        <v>34</v>
      </c>
      <c r="D1002" s="5" t="str">
        <f>"10"</f>
        <v>10</v>
      </c>
      <c r="E1002" s="6">
        <v>0</v>
      </c>
      <c r="F1002" s="6">
        <v>0</v>
      </c>
      <c r="G1002" s="6">
        <v>0</v>
      </c>
      <c r="H1002" s="6" t="s">
        <v>10</v>
      </c>
    </row>
    <row r="1003" ht="20.1" customHeight="1" spans="1:8">
      <c r="A1003" s="5" t="str">
        <f t="shared" si="62"/>
        <v>221009</v>
      </c>
      <c r="B1003" s="5" t="str">
        <f>"2022113411"</f>
        <v>2022113411</v>
      </c>
      <c r="C1003" s="5" t="str">
        <f t="shared" si="63"/>
        <v>34</v>
      </c>
      <c r="D1003" s="5" t="str">
        <f>"11"</f>
        <v>11</v>
      </c>
      <c r="E1003" s="6">
        <v>0</v>
      </c>
      <c r="F1003" s="6">
        <v>0</v>
      </c>
      <c r="G1003" s="6">
        <v>0</v>
      </c>
      <c r="H1003" s="6" t="s">
        <v>10</v>
      </c>
    </row>
    <row r="1004" ht="20.1" customHeight="1" spans="1:8">
      <c r="A1004" s="5" t="str">
        <f t="shared" si="62"/>
        <v>221009</v>
      </c>
      <c r="B1004" s="5" t="str">
        <f>"2022113412"</f>
        <v>2022113412</v>
      </c>
      <c r="C1004" s="5" t="str">
        <f t="shared" si="63"/>
        <v>34</v>
      </c>
      <c r="D1004" s="5" t="str">
        <f>"12"</f>
        <v>12</v>
      </c>
      <c r="E1004" s="6">
        <v>0</v>
      </c>
      <c r="F1004" s="6">
        <v>0</v>
      </c>
      <c r="G1004" s="6">
        <v>0</v>
      </c>
      <c r="H1004" s="6" t="s">
        <v>10</v>
      </c>
    </row>
    <row r="1005" ht="20.1" customHeight="1" spans="1:8">
      <c r="A1005" s="5" t="str">
        <f t="shared" ref="A1005:A1039" si="64">"221009"</f>
        <v>221009</v>
      </c>
      <c r="B1005" s="5" t="str">
        <f>"2022113413"</f>
        <v>2022113413</v>
      </c>
      <c r="C1005" s="5" t="str">
        <f t="shared" si="63"/>
        <v>34</v>
      </c>
      <c r="D1005" s="5" t="str">
        <f>"13"</f>
        <v>13</v>
      </c>
      <c r="E1005" s="6">
        <v>82.5</v>
      </c>
      <c r="F1005" s="6">
        <v>89.3</v>
      </c>
      <c r="G1005" s="6">
        <v>57.2666666666667</v>
      </c>
      <c r="H1005" s="6" t="s">
        <v>9</v>
      </c>
    </row>
    <row r="1006" ht="20.1" customHeight="1" spans="1:8">
      <c r="A1006" s="5" t="str">
        <f t="shared" si="64"/>
        <v>221009</v>
      </c>
      <c r="B1006" s="5" t="str">
        <f>"2022113414"</f>
        <v>2022113414</v>
      </c>
      <c r="C1006" s="5" t="str">
        <f t="shared" si="63"/>
        <v>34</v>
      </c>
      <c r="D1006" s="5" t="str">
        <f>"14"</f>
        <v>14</v>
      </c>
      <c r="E1006" s="6">
        <v>85.5</v>
      </c>
      <c r="F1006" s="6">
        <v>100.5</v>
      </c>
      <c r="G1006" s="6">
        <v>62</v>
      </c>
      <c r="H1006" s="6" t="s">
        <v>9</v>
      </c>
    </row>
    <row r="1007" ht="20.1" customHeight="1" spans="1:8">
      <c r="A1007" s="5" t="str">
        <f t="shared" si="64"/>
        <v>221009</v>
      </c>
      <c r="B1007" s="5" t="str">
        <f>"2022113415"</f>
        <v>2022113415</v>
      </c>
      <c r="C1007" s="5" t="str">
        <f t="shared" si="63"/>
        <v>34</v>
      </c>
      <c r="D1007" s="5" t="str">
        <f>"15"</f>
        <v>15</v>
      </c>
      <c r="E1007" s="6">
        <v>103.5</v>
      </c>
      <c r="F1007" s="6">
        <v>113.9</v>
      </c>
      <c r="G1007" s="6">
        <v>72.4666666666667</v>
      </c>
      <c r="H1007" s="6" t="s">
        <v>9</v>
      </c>
    </row>
    <row r="1008" ht="20.1" customHeight="1" spans="1:8">
      <c r="A1008" s="5" t="str">
        <f t="shared" si="64"/>
        <v>221009</v>
      </c>
      <c r="B1008" s="5" t="str">
        <f>"2022113416"</f>
        <v>2022113416</v>
      </c>
      <c r="C1008" s="5" t="str">
        <f t="shared" si="63"/>
        <v>34</v>
      </c>
      <c r="D1008" s="5" t="str">
        <f>"16"</f>
        <v>16</v>
      </c>
      <c r="E1008" s="6">
        <v>94.5</v>
      </c>
      <c r="F1008" s="6">
        <v>97.3</v>
      </c>
      <c r="G1008" s="6">
        <v>63.9333333333333</v>
      </c>
      <c r="H1008" s="6" t="s">
        <v>9</v>
      </c>
    </row>
    <row r="1009" ht="20.1" customHeight="1" spans="1:8">
      <c r="A1009" s="5" t="str">
        <f t="shared" si="64"/>
        <v>221009</v>
      </c>
      <c r="B1009" s="5" t="str">
        <f>"2022113417"</f>
        <v>2022113417</v>
      </c>
      <c r="C1009" s="5" t="str">
        <f t="shared" si="63"/>
        <v>34</v>
      </c>
      <c r="D1009" s="5" t="str">
        <f>"17"</f>
        <v>17</v>
      </c>
      <c r="E1009" s="6">
        <v>121.5</v>
      </c>
      <c r="F1009" s="6">
        <v>114.6</v>
      </c>
      <c r="G1009" s="6">
        <v>78.7</v>
      </c>
      <c r="H1009" s="6" t="s">
        <v>9</v>
      </c>
    </row>
    <row r="1010" ht="20.1" customHeight="1" spans="1:8">
      <c r="A1010" s="5" t="str">
        <f t="shared" si="64"/>
        <v>221009</v>
      </c>
      <c r="B1010" s="5" t="str">
        <f>"2022113418"</f>
        <v>2022113418</v>
      </c>
      <c r="C1010" s="5" t="str">
        <f t="shared" si="63"/>
        <v>34</v>
      </c>
      <c r="D1010" s="5" t="str">
        <f>"18"</f>
        <v>18</v>
      </c>
      <c r="E1010" s="6">
        <v>105</v>
      </c>
      <c r="F1010" s="6">
        <v>111.8</v>
      </c>
      <c r="G1010" s="6">
        <v>72.2666666666667</v>
      </c>
      <c r="H1010" s="6" t="s">
        <v>9</v>
      </c>
    </row>
    <row r="1011" ht="20.1" customHeight="1" spans="1:8">
      <c r="A1011" s="5" t="str">
        <f t="shared" si="64"/>
        <v>221009</v>
      </c>
      <c r="B1011" s="5" t="str">
        <f>"2022113419"</f>
        <v>2022113419</v>
      </c>
      <c r="C1011" s="5" t="str">
        <f t="shared" si="63"/>
        <v>34</v>
      </c>
      <c r="D1011" s="5" t="str">
        <f>"19"</f>
        <v>19</v>
      </c>
      <c r="E1011" s="6">
        <v>132</v>
      </c>
      <c r="F1011" s="6">
        <v>115.3</v>
      </c>
      <c r="G1011" s="6">
        <v>82.4333333333333</v>
      </c>
      <c r="H1011" s="7" t="s">
        <v>11</v>
      </c>
    </row>
    <row r="1012" ht="20.1" customHeight="1" spans="1:8">
      <c r="A1012" s="5" t="str">
        <f t="shared" si="64"/>
        <v>221009</v>
      </c>
      <c r="B1012" s="5" t="str">
        <f>"2022113420"</f>
        <v>2022113420</v>
      </c>
      <c r="C1012" s="5" t="str">
        <f t="shared" si="63"/>
        <v>34</v>
      </c>
      <c r="D1012" s="5" t="str">
        <f>"20"</f>
        <v>20</v>
      </c>
      <c r="E1012" s="6">
        <v>103.5</v>
      </c>
      <c r="F1012" s="6">
        <v>77.6</v>
      </c>
      <c r="G1012" s="6">
        <v>60.3666666666667</v>
      </c>
      <c r="H1012" s="6" t="s">
        <v>9</v>
      </c>
    </row>
    <row r="1013" ht="20.1" customHeight="1" spans="1:8">
      <c r="A1013" s="5" t="str">
        <f t="shared" si="64"/>
        <v>221009</v>
      </c>
      <c r="B1013" s="5" t="str">
        <f>"2022113421"</f>
        <v>2022113421</v>
      </c>
      <c r="C1013" s="5" t="str">
        <f t="shared" si="63"/>
        <v>34</v>
      </c>
      <c r="D1013" s="5" t="str">
        <f>"21"</f>
        <v>21</v>
      </c>
      <c r="E1013" s="6">
        <v>105</v>
      </c>
      <c r="F1013" s="6">
        <v>109.9</v>
      </c>
      <c r="G1013" s="6">
        <v>71.6333333333333</v>
      </c>
      <c r="H1013" s="6" t="s">
        <v>9</v>
      </c>
    </row>
    <row r="1014" ht="20.1" customHeight="1" spans="1:8">
      <c r="A1014" s="5" t="str">
        <f t="shared" si="64"/>
        <v>221009</v>
      </c>
      <c r="B1014" s="5" t="str">
        <f>"2022113422"</f>
        <v>2022113422</v>
      </c>
      <c r="C1014" s="5" t="str">
        <f t="shared" si="63"/>
        <v>34</v>
      </c>
      <c r="D1014" s="5" t="str">
        <f>"22"</f>
        <v>22</v>
      </c>
      <c r="E1014" s="6">
        <v>0</v>
      </c>
      <c r="F1014" s="6">
        <v>0</v>
      </c>
      <c r="G1014" s="6">
        <v>0</v>
      </c>
      <c r="H1014" s="6" t="s">
        <v>10</v>
      </c>
    </row>
    <row r="1015" ht="20.1" customHeight="1" spans="1:8">
      <c r="A1015" s="5" t="str">
        <f t="shared" si="64"/>
        <v>221009</v>
      </c>
      <c r="B1015" s="5" t="str">
        <f>"2022113423"</f>
        <v>2022113423</v>
      </c>
      <c r="C1015" s="5" t="str">
        <f t="shared" si="63"/>
        <v>34</v>
      </c>
      <c r="D1015" s="5" t="str">
        <f>"23"</f>
        <v>23</v>
      </c>
      <c r="E1015" s="6">
        <v>99</v>
      </c>
      <c r="F1015" s="6">
        <v>107</v>
      </c>
      <c r="G1015" s="6">
        <v>68.6666666666667</v>
      </c>
      <c r="H1015" s="6" t="s">
        <v>9</v>
      </c>
    </row>
    <row r="1016" ht="20.1" customHeight="1" spans="1:8">
      <c r="A1016" s="5" t="str">
        <f t="shared" si="64"/>
        <v>221009</v>
      </c>
      <c r="B1016" s="5" t="str">
        <f>"2022113424"</f>
        <v>2022113424</v>
      </c>
      <c r="C1016" s="5" t="str">
        <f t="shared" si="63"/>
        <v>34</v>
      </c>
      <c r="D1016" s="5" t="str">
        <f>"24"</f>
        <v>24</v>
      </c>
      <c r="E1016" s="6">
        <v>121.5</v>
      </c>
      <c r="F1016" s="6">
        <v>100</v>
      </c>
      <c r="G1016" s="6">
        <v>73.8333333333333</v>
      </c>
      <c r="H1016" s="6" t="s">
        <v>9</v>
      </c>
    </row>
    <row r="1017" ht="20.1" customHeight="1" spans="1:8">
      <c r="A1017" s="5" t="str">
        <f t="shared" si="64"/>
        <v>221009</v>
      </c>
      <c r="B1017" s="5" t="str">
        <f>"2022113425"</f>
        <v>2022113425</v>
      </c>
      <c r="C1017" s="5" t="str">
        <f t="shared" si="63"/>
        <v>34</v>
      </c>
      <c r="D1017" s="5" t="str">
        <f>"25"</f>
        <v>25</v>
      </c>
      <c r="E1017" s="6">
        <v>115.5</v>
      </c>
      <c r="F1017" s="6">
        <v>112.8</v>
      </c>
      <c r="G1017" s="6">
        <v>76.1</v>
      </c>
      <c r="H1017" s="6" t="s">
        <v>9</v>
      </c>
    </row>
    <row r="1018" ht="20.1" customHeight="1" spans="1:8">
      <c r="A1018" s="5" t="str">
        <f t="shared" si="64"/>
        <v>221009</v>
      </c>
      <c r="B1018" s="5" t="str">
        <f>"2022113426"</f>
        <v>2022113426</v>
      </c>
      <c r="C1018" s="5" t="str">
        <f t="shared" si="63"/>
        <v>34</v>
      </c>
      <c r="D1018" s="5" t="str">
        <f>"26"</f>
        <v>26</v>
      </c>
      <c r="E1018" s="6">
        <v>94.5</v>
      </c>
      <c r="F1018" s="6">
        <v>114.1</v>
      </c>
      <c r="G1018" s="6">
        <v>69.5333333333333</v>
      </c>
      <c r="H1018" s="6" t="s">
        <v>9</v>
      </c>
    </row>
    <row r="1019" ht="20.1" customHeight="1" spans="1:8">
      <c r="A1019" s="5" t="str">
        <f t="shared" si="64"/>
        <v>221009</v>
      </c>
      <c r="B1019" s="5" t="str">
        <f>"2022113427"</f>
        <v>2022113427</v>
      </c>
      <c r="C1019" s="5" t="str">
        <f t="shared" si="63"/>
        <v>34</v>
      </c>
      <c r="D1019" s="5" t="str">
        <f>"27"</f>
        <v>27</v>
      </c>
      <c r="E1019" s="6">
        <v>121.5</v>
      </c>
      <c r="F1019" s="6">
        <v>115.9</v>
      </c>
      <c r="G1019" s="6">
        <v>79.1333333333333</v>
      </c>
      <c r="H1019" s="6" t="s">
        <v>9</v>
      </c>
    </row>
    <row r="1020" ht="20.1" customHeight="1" spans="1:8">
      <c r="A1020" s="5" t="str">
        <f t="shared" si="64"/>
        <v>221009</v>
      </c>
      <c r="B1020" s="5" t="str">
        <f>"2022113428"</f>
        <v>2022113428</v>
      </c>
      <c r="C1020" s="5" t="str">
        <f t="shared" si="63"/>
        <v>34</v>
      </c>
      <c r="D1020" s="5" t="str">
        <f>"28"</f>
        <v>28</v>
      </c>
      <c r="E1020" s="6">
        <v>0</v>
      </c>
      <c r="F1020" s="6">
        <v>0</v>
      </c>
      <c r="G1020" s="6">
        <v>0</v>
      </c>
      <c r="H1020" s="6" t="s">
        <v>10</v>
      </c>
    </row>
    <row r="1021" ht="20.1" customHeight="1" spans="1:8">
      <c r="A1021" s="5" t="str">
        <f t="shared" si="64"/>
        <v>221009</v>
      </c>
      <c r="B1021" s="5" t="str">
        <f>"2022113429"</f>
        <v>2022113429</v>
      </c>
      <c r="C1021" s="5" t="str">
        <f t="shared" si="63"/>
        <v>34</v>
      </c>
      <c r="D1021" s="5" t="str">
        <f>"29"</f>
        <v>29</v>
      </c>
      <c r="E1021" s="6">
        <v>0</v>
      </c>
      <c r="F1021" s="6">
        <v>0</v>
      </c>
      <c r="G1021" s="6">
        <v>0</v>
      </c>
      <c r="H1021" s="6" t="s">
        <v>10</v>
      </c>
    </row>
    <row r="1022" ht="20.1" customHeight="1" spans="1:8">
      <c r="A1022" s="5" t="str">
        <f t="shared" si="64"/>
        <v>221009</v>
      </c>
      <c r="B1022" s="5" t="str">
        <f>"2022113430"</f>
        <v>2022113430</v>
      </c>
      <c r="C1022" s="5" t="str">
        <f t="shared" si="63"/>
        <v>34</v>
      </c>
      <c r="D1022" s="5" t="str">
        <f>"30"</f>
        <v>30</v>
      </c>
      <c r="E1022" s="6">
        <v>108</v>
      </c>
      <c r="F1022" s="6">
        <v>90.2</v>
      </c>
      <c r="G1022" s="6">
        <v>66.0666666666667</v>
      </c>
      <c r="H1022" s="6" t="s">
        <v>9</v>
      </c>
    </row>
    <row r="1023" ht="20.1" customHeight="1" spans="1:8">
      <c r="A1023" s="5" t="str">
        <f t="shared" si="64"/>
        <v>221009</v>
      </c>
      <c r="B1023" s="5" t="str">
        <f>"2022113501"</f>
        <v>2022113501</v>
      </c>
      <c r="C1023" s="5" t="str">
        <f t="shared" ref="C1023:C1052" si="65">"35"</f>
        <v>35</v>
      </c>
      <c r="D1023" s="5" t="str">
        <f>"01"</f>
        <v>01</v>
      </c>
      <c r="E1023" s="6">
        <v>124.5</v>
      </c>
      <c r="F1023" s="6">
        <v>110.1</v>
      </c>
      <c r="G1023" s="6">
        <v>78.2</v>
      </c>
      <c r="H1023" s="6" t="s">
        <v>9</v>
      </c>
    </row>
    <row r="1024" ht="20.1" customHeight="1" spans="1:8">
      <c r="A1024" s="5" t="str">
        <f t="shared" si="64"/>
        <v>221009</v>
      </c>
      <c r="B1024" s="5" t="str">
        <f>"2022113502"</f>
        <v>2022113502</v>
      </c>
      <c r="C1024" s="5" t="str">
        <f t="shared" si="65"/>
        <v>35</v>
      </c>
      <c r="D1024" s="5" t="str">
        <f>"02"</f>
        <v>02</v>
      </c>
      <c r="E1024" s="6">
        <v>0</v>
      </c>
      <c r="F1024" s="6">
        <v>0</v>
      </c>
      <c r="G1024" s="6">
        <v>0</v>
      </c>
      <c r="H1024" s="6" t="s">
        <v>10</v>
      </c>
    </row>
    <row r="1025" ht="20.1" customHeight="1" spans="1:8">
      <c r="A1025" s="5" t="str">
        <f t="shared" si="64"/>
        <v>221009</v>
      </c>
      <c r="B1025" s="5" t="str">
        <f>"2022113503"</f>
        <v>2022113503</v>
      </c>
      <c r="C1025" s="5" t="str">
        <f t="shared" si="65"/>
        <v>35</v>
      </c>
      <c r="D1025" s="5" t="str">
        <f>"03"</f>
        <v>03</v>
      </c>
      <c r="E1025" s="6">
        <v>93</v>
      </c>
      <c r="F1025" s="6">
        <v>112.6</v>
      </c>
      <c r="G1025" s="6">
        <v>68.5333333333333</v>
      </c>
      <c r="H1025" s="6" t="s">
        <v>9</v>
      </c>
    </row>
    <row r="1026" ht="20.1" customHeight="1" spans="1:8">
      <c r="A1026" s="5" t="str">
        <f t="shared" si="64"/>
        <v>221009</v>
      </c>
      <c r="B1026" s="5" t="str">
        <f>"2022113504"</f>
        <v>2022113504</v>
      </c>
      <c r="C1026" s="5" t="str">
        <f t="shared" si="65"/>
        <v>35</v>
      </c>
      <c r="D1026" s="5" t="str">
        <f>"04"</f>
        <v>04</v>
      </c>
      <c r="E1026" s="6">
        <v>117</v>
      </c>
      <c r="F1026" s="6">
        <v>111.8</v>
      </c>
      <c r="G1026" s="6">
        <v>76.2666666666667</v>
      </c>
      <c r="H1026" s="6" t="s">
        <v>9</v>
      </c>
    </row>
    <row r="1027" ht="20.1" customHeight="1" spans="1:8">
      <c r="A1027" s="5" t="str">
        <f t="shared" si="64"/>
        <v>221009</v>
      </c>
      <c r="B1027" s="5" t="str">
        <f>"2022113505"</f>
        <v>2022113505</v>
      </c>
      <c r="C1027" s="5" t="str">
        <f t="shared" si="65"/>
        <v>35</v>
      </c>
      <c r="D1027" s="5" t="str">
        <f>"05"</f>
        <v>05</v>
      </c>
      <c r="E1027" s="6">
        <v>111</v>
      </c>
      <c r="F1027" s="6">
        <v>117.7</v>
      </c>
      <c r="G1027" s="6">
        <v>76.2333333333333</v>
      </c>
      <c r="H1027" s="6" t="s">
        <v>9</v>
      </c>
    </row>
    <row r="1028" ht="20.1" customHeight="1" spans="1:8">
      <c r="A1028" s="5" t="str">
        <f t="shared" si="64"/>
        <v>221009</v>
      </c>
      <c r="B1028" s="5" t="str">
        <f>"2022113506"</f>
        <v>2022113506</v>
      </c>
      <c r="C1028" s="5" t="str">
        <f t="shared" si="65"/>
        <v>35</v>
      </c>
      <c r="D1028" s="5" t="str">
        <f>"06"</f>
        <v>06</v>
      </c>
      <c r="E1028" s="6">
        <v>105</v>
      </c>
      <c r="F1028" s="6">
        <v>109.6</v>
      </c>
      <c r="G1028" s="6">
        <v>71.5333333333333</v>
      </c>
      <c r="H1028" s="6" t="s">
        <v>9</v>
      </c>
    </row>
    <row r="1029" ht="20.1" customHeight="1" spans="1:8">
      <c r="A1029" s="5" t="str">
        <f t="shared" si="64"/>
        <v>221009</v>
      </c>
      <c r="B1029" s="5" t="str">
        <f>"2022113507"</f>
        <v>2022113507</v>
      </c>
      <c r="C1029" s="5" t="str">
        <f t="shared" si="65"/>
        <v>35</v>
      </c>
      <c r="D1029" s="5" t="str">
        <f>"07"</f>
        <v>07</v>
      </c>
      <c r="E1029" s="6">
        <v>127.5</v>
      </c>
      <c r="F1029" s="6">
        <v>116</v>
      </c>
      <c r="G1029" s="6">
        <v>81.1666666666667</v>
      </c>
      <c r="H1029" s="7" t="s">
        <v>11</v>
      </c>
    </row>
    <row r="1030" ht="20.1" customHeight="1" spans="1:8">
      <c r="A1030" s="5" t="str">
        <f t="shared" si="64"/>
        <v>221009</v>
      </c>
      <c r="B1030" s="5" t="str">
        <f>"2022113508"</f>
        <v>2022113508</v>
      </c>
      <c r="C1030" s="5" t="str">
        <f t="shared" si="65"/>
        <v>35</v>
      </c>
      <c r="D1030" s="5" t="str">
        <f>"08"</f>
        <v>08</v>
      </c>
      <c r="E1030" s="6">
        <v>130.5</v>
      </c>
      <c r="F1030" s="6">
        <v>91.8</v>
      </c>
      <c r="G1030" s="6">
        <v>74.1</v>
      </c>
      <c r="H1030" s="6" t="s">
        <v>9</v>
      </c>
    </row>
    <row r="1031" ht="20.1" customHeight="1" spans="1:8">
      <c r="A1031" s="5" t="str">
        <f t="shared" si="64"/>
        <v>221009</v>
      </c>
      <c r="B1031" s="5" t="str">
        <f>"2022113509"</f>
        <v>2022113509</v>
      </c>
      <c r="C1031" s="5" t="str">
        <f t="shared" si="65"/>
        <v>35</v>
      </c>
      <c r="D1031" s="5" t="str">
        <f>"09"</f>
        <v>09</v>
      </c>
      <c r="E1031" s="6">
        <v>0</v>
      </c>
      <c r="F1031" s="6">
        <v>0</v>
      </c>
      <c r="G1031" s="6">
        <v>0</v>
      </c>
      <c r="H1031" s="6" t="s">
        <v>10</v>
      </c>
    </row>
    <row r="1032" ht="20.1" customHeight="1" spans="1:8">
      <c r="A1032" s="5" t="str">
        <f t="shared" si="64"/>
        <v>221009</v>
      </c>
      <c r="B1032" s="5" t="str">
        <f>"2022113510"</f>
        <v>2022113510</v>
      </c>
      <c r="C1032" s="5" t="str">
        <f t="shared" si="65"/>
        <v>35</v>
      </c>
      <c r="D1032" s="5" t="str">
        <f>"10"</f>
        <v>10</v>
      </c>
      <c r="E1032" s="6">
        <v>102</v>
      </c>
      <c r="F1032" s="6">
        <v>109.9</v>
      </c>
      <c r="G1032" s="6">
        <v>70.6333333333333</v>
      </c>
      <c r="H1032" s="6" t="s">
        <v>9</v>
      </c>
    </row>
    <row r="1033" ht="20.1" customHeight="1" spans="1:8">
      <c r="A1033" s="5" t="str">
        <f t="shared" si="64"/>
        <v>221009</v>
      </c>
      <c r="B1033" s="5" t="str">
        <f>"2022113511"</f>
        <v>2022113511</v>
      </c>
      <c r="C1033" s="5" t="str">
        <f t="shared" si="65"/>
        <v>35</v>
      </c>
      <c r="D1033" s="5" t="str">
        <f>"11"</f>
        <v>11</v>
      </c>
      <c r="E1033" s="6">
        <v>0</v>
      </c>
      <c r="F1033" s="6">
        <v>0</v>
      </c>
      <c r="G1033" s="6">
        <v>0</v>
      </c>
      <c r="H1033" s="6" t="s">
        <v>10</v>
      </c>
    </row>
    <row r="1034" ht="20.1" customHeight="1" spans="1:8">
      <c r="A1034" s="5" t="str">
        <f t="shared" si="64"/>
        <v>221009</v>
      </c>
      <c r="B1034" s="5" t="str">
        <f>"2022113512"</f>
        <v>2022113512</v>
      </c>
      <c r="C1034" s="5" t="str">
        <f t="shared" si="65"/>
        <v>35</v>
      </c>
      <c r="D1034" s="5" t="str">
        <f>"12"</f>
        <v>12</v>
      </c>
      <c r="E1034" s="6">
        <v>0</v>
      </c>
      <c r="F1034" s="6">
        <v>0</v>
      </c>
      <c r="G1034" s="6">
        <v>0</v>
      </c>
      <c r="H1034" s="6" t="s">
        <v>10</v>
      </c>
    </row>
    <row r="1035" ht="20.1" customHeight="1" spans="1:8">
      <c r="A1035" s="5" t="str">
        <f t="shared" si="64"/>
        <v>221009</v>
      </c>
      <c r="B1035" s="5" t="str">
        <f>"2022113513"</f>
        <v>2022113513</v>
      </c>
      <c r="C1035" s="5" t="str">
        <f t="shared" si="65"/>
        <v>35</v>
      </c>
      <c r="D1035" s="5" t="str">
        <f>"13"</f>
        <v>13</v>
      </c>
      <c r="E1035" s="6">
        <v>0</v>
      </c>
      <c r="F1035" s="6">
        <v>0</v>
      </c>
      <c r="G1035" s="6">
        <v>0</v>
      </c>
      <c r="H1035" s="6" t="s">
        <v>10</v>
      </c>
    </row>
    <row r="1036" ht="20.1" customHeight="1" spans="1:8">
      <c r="A1036" s="5" t="str">
        <f t="shared" si="64"/>
        <v>221009</v>
      </c>
      <c r="B1036" s="5" t="str">
        <f>"2022113514"</f>
        <v>2022113514</v>
      </c>
      <c r="C1036" s="5" t="str">
        <f t="shared" si="65"/>
        <v>35</v>
      </c>
      <c r="D1036" s="5" t="str">
        <f>"14"</f>
        <v>14</v>
      </c>
      <c r="E1036" s="6">
        <v>0</v>
      </c>
      <c r="F1036" s="6">
        <v>0</v>
      </c>
      <c r="G1036" s="6">
        <v>0</v>
      </c>
      <c r="H1036" s="6" t="s">
        <v>10</v>
      </c>
    </row>
    <row r="1037" ht="20.1" customHeight="1" spans="1:8">
      <c r="A1037" s="5" t="str">
        <f t="shared" si="64"/>
        <v>221009</v>
      </c>
      <c r="B1037" s="5" t="str">
        <f>"2022113515"</f>
        <v>2022113515</v>
      </c>
      <c r="C1037" s="5" t="str">
        <f t="shared" si="65"/>
        <v>35</v>
      </c>
      <c r="D1037" s="5" t="str">
        <f>"15"</f>
        <v>15</v>
      </c>
      <c r="E1037" s="6">
        <v>0</v>
      </c>
      <c r="F1037" s="6">
        <v>0</v>
      </c>
      <c r="G1037" s="6">
        <v>0</v>
      </c>
      <c r="H1037" s="6" t="s">
        <v>10</v>
      </c>
    </row>
    <row r="1038" ht="20.1" customHeight="1" spans="1:8">
      <c r="A1038" s="5" t="str">
        <f t="shared" si="64"/>
        <v>221009</v>
      </c>
      <c r="B1038" s="5" t="str">
        <f>"2022113516"</f>
        <v>2022113516</v>
      </c>
      <c r="C1038" s="5" t="str">
        <f t="shared" si="65"/>
        <v>35</v>
      </c>
      <c r="D1038" s="5" t="str">
        <f>"16"</f>
        <v>16</v>
      </c>
      <c r="E1038" s="6">
        <v>138</v>
      </c>
      <c r="F1038" s="6">
        <v>111.5</v>
      </c>
      <c r="G1038" s="6">
        <v>83.1666666666667</v>
      </c>
      <c r="H1038" s="7" t="s">
        <v>11</v>
      </c>
    </row>
    <row r="1039" ht="20.1" customHeight="1" spans="1:8">
      <c r="A1039" s="5" t="str">
        <f t="shared" si="64"/>
        <v>221009</v>
      </c>
      <c r="B1039" s="5" t="str">
        <f>"2022113517"</f>
        <v>2022113517</v>
      </c>
      <c r="C1039" s="5" t="str">
        <f t="shared" si="65"/>
        <v>35</v>
      </c>
      <c r="D1039" s="5" t="str">
        <f>"17"</f>
        <v>17</v>
      </c>
      <c r="E1039" s="6">
        <v>93</v>
      </c>
      <c r="F1039" s="6">
        <v>105.3</v>
      </c>
      <c r="G1039" s="6">
        <v>66.1</v>
      </c>
      <c r="H1039" s="6" t="s">
        <v>9</v>
      </c>
    </row>
    <row r="1040" ht="20.1" customHeight="1" spans="1:8">
      <c r="A1040" s="5" t="str">
        <f t="shared" ref="A1040:A1071" si="66">"221010"</f>
        <v>221010</v>
      </c>
      <c r="B1040" s="5" t="str">
        <f>"2022113518"</f>
        <v>2022113518</v>
      </c>
      <c r="C1040" s="5" t="str">
        <f t="shared" si="65"/>
        <v>35</v>
      </c>
      <c r="D1040" s="5" t="str">
        <f>"18"</f>
        <v>18</v>
      </c>
      <c r="E1040" s="6">
        <v>123</v>
      </c>
      <c r="F1040" s="6">
        <v>106.3</v>
      </c>
      <c r="G1040" s="6">
        <v>76.4333333333333</v>
      </c>
      <c r="H1040" s="6" t="s">
        <v>9</v>
      </c>
    </row>
    <row r="1041" ht="20.1" customHeight="1" spans="1:8">
      <c r="A1041" s="5" t="str">
        <f t="shared" si="66"/>
        <v>221010</v>
      </c>
      <c r="B1041" s="5" t="str">
        <f>"2022113519"</f>
        <v>2022113519</v>
      </c>
      <c r="C1041" s="5" t="str">
        <f t="shared" si="65"/>
        <v>35</v>
      </c>
      <c r="D1041" s="5" t="str">
        <f>"19"</f>
        <v>19</v>
      </c>
      <c r="E1041" s="6">
        <v>115.5</v>
      </c>
      <c r="F1041" s="6">
        <v>100.4</v>
      </c>
      <c r="G1041" s="6">
        <v>71.9666666666667</v>
      </c>
      <c r="H1041" s="6" t="s">
        <v>9</v>
      </c>
    </row>
    <row r="1042" ht="20.1" customHeight="1" spans="1:8">
      <c r="A1042" s="5" t="str">
        <f t="shared" si="66"/>
        <v>221010</v>
      </c>
      <c r="B1042" s="5" t="str">
        <f>"2022113520"</f>
        <v>2022113520</v>
      </c>
      <c r="C1042" s="5" t="str">
        <f t="shared" si="65"/>
        <v>35</v>
      </c>
      <c r="D1042" s="5" t="str">
        <f>"20"</f>
        <v>20</v>
      </c>
      <c r="E1042" s="6">
        <v>114</v>
      </c>
      <c r="F1042" s="6">
        <v>92.9</v>
      </c>
      <c r="G1042" s="6">
        <v>68.9666666666667</v>
      </c>
      <c r="H1042" s="6" t="s">
        <v>9</v>
      </c>
    </row>
    <row r="1043" ht="20.1" customHeight="1" spans="1:8">
      <c r="A1043" s="5" t="str">
        <f t="shared" si="66"/>
        <v>221010</v>
      </c>
      <c r="B1043" s="5" t="str">
        <f>"2022113521"</f>
        <v>2022113521</v>
      </c>
      <c r="C1043" s="5" t="str">
        <f t="shared" si="65"/>
        <v>35</v>
      </c>
      <c r="D1043" s="5" t="str">
        <f>"21"</f>
        <v>21</v>
      </c>
      <c r="E1043" s="6">
        <v>0</v>
      </c>
      <c r="F1043" s="6">
        <v>0</v>
      </c>
      <c r="G1043" s="6">
        <v>0</v>
      </c>
      <c r="H1043" s="6" t="s">
        <v>10</v>
      </c>
    </row>
    <row r="1044" ht="20.1" customHeight="1" spans="1:8">
      <c r="A1044" s="5" t="str">
        <f t="shared" si="66"/>
        <v>221010</v>
      </c>
      <c r="B1044" s="5" t="str">
        <f>"2022113522"</f>
        <v>2022113522</v>
      </c>
      <c r="C1044" s="5" t="str">
        <f t="shared" si="65"/>
        <v>35</v>
      </c>
      <c r="D1044" s="5" t="str">
        <f>"22"</f>
        <v>22</v>
      </c>
      <c r="E1044" s="6">
        <v>0</v>
      </c>
      <c r="F1044" s="6">
        <v>0</v>
      </c>
      <c r="G1044" s="6">
        <v>0</v>
      </c>
      <c r="H1044" s="6" t="s">
        <v>10</v>
      </c>
    </row>
    <row r="1045" ht="20.1" customHeight="1" spans="1:8">
      <c r="A1045" s="5" t="str">
        <f t="shared" si="66"/>
        <v>221010</v>
      </c>
      <c r="B1045" s="5" t="str">
        <f>"2022113523"</f>
        <v>2022113523</v>
      </c>
      <c r="C1045" s="5" t="str">
        <f t="shared" si="65"/>
        <v>35</v>
      </c>
      <c r="D1045" s="5" t="str">
        <f>"23"</f>
        <v>23</v>
      </c>
      <c r="E1045" s="6">
        <v>112.5</v>
      </c>
      <c r="F1045" s="6">
        <v>113.1</v>
      </c>
      <c r="G1045" s="6">
        <v>75.2</v>
      </c>
      <c r="H1045" s="6" t="s">
        <v>9</v>
      </c>
    </row>
    <row r="1046" ht="20.1" customHeight="1" spans="1:8">
      <c r="A1046" s="5" t="str">
        <f t="shared" si="66"/>
        <v>221010</v>
      </c>
      <c r="B1046" s="5" t="str">
        <f>"2022113524"</f>
        <v>2022113524</v>
      </c>
      <c r="C1046" s="5" t="str">
        <f t="shared" si="65"/>
        <v>35</v>
      </c>
      <c r="D1046" s="5" t="str">
        <f>"24"</f>
        <v>24</v>
      </c>
      <c r="E1046" s="6">
        <v>93</v>
      </c>
      <c r="F1046" s="6">
        <v>109</v>
      </c>
      <c r="G1046" s="6">
        <v>67.3333333333333</v>
      </c>
      <c r="H1046" s="6" t="s">
        <v>9</v>
      </c>
    </row>
    <row r="1047" ht="20.1" customHeight="1" spans="1:8">
      <c r="A1047" s="5" t="str">
        <f t="shared" si="66"/>
        <v>221010</v>
      </c>
      <c r="B1047" s="5" t="str">
        <f>"2022113525"</f>
        <v>2022113525</v>
      </c>
      <c r="C1047" s="5" t="str">
        <f t="shared" si="65"/>
        <v>35</v>
      </c>
      <c r="D1047" s="5" t="str">
        <f>"25"</f>
        <v>25</v>
      </c>
      <c r="E1047" s="6">
        <v>0</v>
      </c>
      <c r="F1047" s="6">
        <v>0</v>
      </c>
      <c r="G1047" s="6">
        <v>0</v>
      </c>
      <c r="H1047" s="6" t="s">
        <v>10</v>
      </c>
    </row>
    <row r="1048" ht="20.1" customHeight="1" spans="1:8">
      <c r="A1048" s="5" t="str">
        <f t="shared" si="66"/>
        <v>221010</v>
      </c>
      <c r="B1048" s="5" t="str">
        <f>"2022113526"</f>
        <v>2022113526</v>
      </c>
      <c r="C1048" s="5" t="str">
        <f t="shared" si="65"/>
        <v>35</v>
      </c>
      <c r="D1048" s="5" t="str">
        <f>"26"</f>
        <v>26</v>
      </c>
      <c r="E1048" s="6">
        <v>120</v>
      </c>
      <c r="F1048" s="6">
        <v>102.6</v>
      </c>
      <c r="G1048" s="6">
        <v>74.2</v>
      </c>
      <c r="H1048" s="6" t="s">
        <v>9</v>
      </c>
    </row>
    <row r="1049" ht="20.1" customHeight="1" spans="1:8">
      <c r="A1049" s="5" t="str">
        <f t="shared" si="66"/>
        <v>221010</v>
      </c>
      <c r="B1049" s="5" t="str">
        <f>"2022113527"</f>
        <v>2022113527</v>
      </c>
      <c r="C1049" s="5" t="str">
        <f t="shared" si="65"/>
        <v>35</v>
      </c>
      <c r="D1049" s="5" t="str">
        <f>"27"</f>
        <v>27</v>
      </c>
      <c r="E1049" s="6">
        <v>0</v>
      </c>
      <c r="F1049" s="6">
        <v>0</v>
      </c>
      <c r="G1049" s="6">
        <v>0</v>
      </c>
      <c r="H1049" s="6" t="s">
        <v>10</v>
      </c>
    </row>
    <row r="1050" ht="20.1" customHeight="1" spans="1:8">
      <c r="A1050" s="5" t="str">
        <f t="shared" si="66"/>
        <v>221010</v>
      </c>
      <c r="B1050" s="5" t="str">
        <f>"2022113528"</f>
        <v>2022113528</v>
      </c>
      <c r="C1050" s="5" t="str">
        <f t="shared" si="65"/>
        <v>35</v>
      </c>
      <c r="D1050" s="5" t="str">
        <f>"28"</f>
        <v>28</v>
      </c>
      <c r="E1050" s="6">
        <v>117</v>
      </c>
      <c r="F1050" s="6">
        <v>89</v>
      </c>
      <c r="G1050" s="6">
        <v>68.6666666666667</v>
      </c>
      <c r="H1050" s="6" t="s">
        <v>9</v>
      </c>
    </row>
    <row r="1051" ht="20.1" customHeight="1" spans="1:8">
      <c r="A1051" s="5" t="str">
        <f t="shared" si="66"/>
        <v>221010</v>
      </c>
      <c r="B1051" s="5" t="str">
        <f>"2022113529"</f>
        <v>2022113529</v>
      </c>
      <c r="C1051" s="5" t="str">
        <f t="shared" si="65"/>
        <v>35</v>
      </c>
      <c r="D1051" s="5" t="str">
        <f>"29"</f>
        <v>29</v>
      </c>
      <c r="E1051" s="6">
        <v>114</v>
      </c>
      <c r="F1051" s="6">
        <v>101.8</v>
      </c>
      <c r="G1051" s="6">
        <v>71.9333333333333</v>
      </c>
      <c r="H1051" s="6" t="s">
        <v>9</v>
      </c>
    </row>
    <row r="1052" ht="20.1" customHeight="1" spans="1:8">
      <c r="A1052" s="5" t="str">
        <f t="shared" si="66"/>
        <v>221010</v>
      </c>
      <c r="B1052" s="5" t="str">
        <f>"2022113530"</f>
        <v>2022113530</v>
      </c>
      <c r="C1052" s="5" t="str">
        <f t="shared" si="65"/>
        <v>35</v>
      </c>
      <c r="D1052" s="5" t="str">
        <f>"30"</f>
        <v>30</v>
      </c>
      <c r="E1052" s="6">
        <v>0</v>
      </c>
      <c r="F1052" s="6">
        <v>0</v>
      </c>
      <c r="G1052" s="6">
        <v>0</v>
      </c>
      <c r="H1052" s="6" t="s">
        <v>10</v>
      </c>
    </row>
    <row r="1053" ht="20.1" customHeight="1" spans="1:8">
      <c r="A1053" s="5" t="str">
        <f t="shared" si="66"/>
        <v>221010</v>
      </c>
      <c r="B1053" s="5" t="str">
        <f>"2022113601"</f>
        <v>2022113601</v>
      </c>
      <c r="C1053" s="5" t="str">
        <f t="shared" ref="C1053:C1082" si="67">"36"</f>
        <v>36</v>
      </c>
      <c r="D1053" s="5" t="str">
        <f>"01"</f>
        <v>01</v>
      </c>
      <c r="E1053" s="6">
        <v>0</v>
      </c>
      <c r="F1053" s="6">
        <v>0</v>
      </c>
      <c r="G1053" s="6">
        <v>0</v>
      </c>
      <c r="H1053" s="6" t="s">
        <v>10</v>
      </c>
    </row>
    <row r="1054" ht="20.1" customHeight="1" spans="1:8">
      <c r="A1054" s="5" t="str">
        <f t="shared" si="66"/>
        <v>221010</v>
      </c>
      <c r="B1054" s="5" t="str">
        <f>"2022113602"</f>
        <v>2022113602</v>
      </c>
      <c r="C1054" s="5" t="str">
        <f t="shared" si="67"/>
        <v>36</v>
      </c>
      <c r="D1054" s="5" t="str">
        <f>"02"</f>
        <v>02</v>
      </c>
      <c r="E1054" s="6">
        <v>121.5</v>
      </c>
      <c r="F1054" s="6">
        <v>109.8</v>
      </c>
      <c r="G1054" s="6">
        <v>77.1</v>
      </c>
      <c r="H1054" s="6" t="s">
        <v>9</v>
      </c>
    </row>
    <row r="1055" ht="20.1" customHeight="1" spans="1:8">
      <c r="A1055" s="5" t="str">
        <f t="shared" si="66"/>
        <v>221010</v>
      </c>
      <c r="B1055" s="5" t="str">
        <f>"2022113603"</f>
        <v>2022113603</v>
      </c>
      <c r="C1055" s="5" t="str">
        <f t="shared" si="67"/>
        <v>36</v>
      </c>
      <c r="D1055" s="5" t="str">
        <f>"03"</f>
        <v>03</v>
      </c>
      <c r="E1055" s="6">
        <v>0</v>
      </c>
      <c r="F1055" s="6">
        <v>0</v>
      </c>
      <c r="G1055" s="6">
        <v>0</v>
      </c>
      <c r="H1055" s="6" t="s">
        <v>10</v>
      </c>
    </row>
    <row r="1056" ht="20.1" customHeight="1" spans="1:8">
      <c r="A1056" s="5" t="str">
        <f t="shared" si="66"/>
        <v>221010</v>
      </c>
      <c r="B1056" s="5" t="str">
        <f>"2022113604"</f>
        <v>2022113604</v>
      </c>
      <c r="C1056" s="5" t="str">
        <f t="shared" si="67"/>
        <v>36</v>
      </c>
      <c r="D1056" s="5" t="str">
        <f>"04"</f>
        <v>04</v>
      </c>
      <c r="E1056" s="6">
        <v>99</v>
      </c>
      <c r="F1056" s="6">
        <v>106.9</v>
      </c>
      <c r="G1056" s="6">
        <v>68.6333333333333</v>
      </c>
      <c r="H1056" s="6" t="s">
        <v>9</v>
      </c>
    </row>
    <row r="1057" ht="20.1" customHeight="1" spans="1:8">
      <c r="A1057" s="5" t="str">
        <f t="shared" si="66"/>
        <v>221010</v>
      </c>
      <c r="B1057" s="5" t="str">
        <f>"2022113605"</f>
        <v>2022113605</v>
      </c>
      <c r="C1057" s="5" t="str">
        <f t="shared" si="67"/>
        <v>36</v>
      </c>
      <c r="D1057" s="5" t="str">
        <f>"05"</f>
        <v>05</v>
      </c>
      <c r="E1057" s="6">
        <v>123</v>
      </c>
      <c r="F1057" s="6">
        <v>107.6</v>
      </c>
      <c r="G1057" s="6">
        <v>76.8666666666667</v>
      </c>
      <c r="H1057" s="6" t="s">
        <v>9</v>
      </c>
    </row>
    <row r="1058" ht="20.1" customHeight="1" spans="1:8">
      <c r="A1058" s="5" t="str">
        <f t="shared" si="66"/>
        <v>221010</v>
      </c>
      <c r="B1058" s="5" t="str">
        <f>"2022113606"</f>
        <v>2022113606</v>
      </c>
      <c r="C1058" s="5" t="str">
        <f t="shared" si="67"/>
        <v>36</v>
      </c>
      <c r="D1058" s="5" t="str">
        <f>"06"</f>
        <v>06</v>
      </c>
      <c r="E1058" s="6">
        <v>0</v>
      </c>
      <c r="F1058" s="6">
        <v>0</v>
      </c>
      <c r="G1058" s="6">
        <v>0</v>
      </c>
      <c r="H1058" s="6" t="s">
        <v>10</v>
      </c>
    </row>
    <row r="1059" ht="20.1" customHeight="1" spans="1:8">
      <c r="A1059" s="5" t="str">
        <f t="shared" si="66"/>
        <v>221010</v>
      </c>
      <c r="B1059" s="5" t="str">
        <f>"2022113607"</f>
        <v>2022113607</v>
      </c>
      <c r="C1059" s="5" t="str">
        <f t="shared" si="67"/>
        <v>36</v>
      </c>
      <c r="D1059" s="5" t="str">
        <f>"07"</f>
        <v>07</v>
      </c>
      <c r="E1059" s="6">
        <v>123</v>
      </c>
      <c r="F1059" s="6">
        <v>110.8</v>
      </c>
      <c r="G1059" s="6">
        <v>77.9333333333333</v>
      </c>
      <c r="H1059" s="6" t="s">
        <v>9</v>
      </c>
    </row>
    <row r="1060" ht="20.1" customHeight="1" spans="1:8">
      <c r="A1060" s="5" t="str">
        <f t="shared" si="66"/>
        <v>221010</v>
      </c>
      <c r="B1060" s="5" t="str">
        <f>"2022113608"</f>
        <v>2022113608</v>
      </c>
      <c r="C1060" s="5" t="str">
        <f t="shared" si="67"/>
        <v>36</v>
      </c>
      <c r="D1060" s="5" t="str">
        <f>"08"</f>
        <v>08</v>
      </c>
      <c r="E1060" s="6">
        <v>0</v>
      </c>
      <c r="F1060" s="6">
        <v>0</v>
      </c>
      <c r="G1060" s="6">
        <v>0</v>
      </c>
      <c r="H1060" s="6" t="s">
        <v>10</v>
      </c>
    </row>
    <row r="1061" ht="20.1" customHeight="1" spans="1:8">
      <c r="A1061" s="5" t="str">
        <f t="shared" si="66"/>
        <v>221010</v>
      </c>
      <c r="B1061" s="5" t="str">
        <f>"2022113609"</f>
        <v>2022113609</v>
      </c>
      <c r="C1061" s="5" t="str">
        <f t="shared" si="67"/>
        <v>36</v>
      </c>
      <c r="D1061" s="5" t="str">
        <f>"09"</f>
        <v>09</v>
      </c>
      <c r="E1061" s="6">
        <v>112.5</v>
      </c>
      <c r="F1061" s="6">
        <v>107.2</v>
      </c>
      <c r="G1061" s="6">
        <v>73.2333333333333</v>
      </c>
      <c r="H1061" s="6" t="s">
        <v>9</v>
      </c>
    </row>
    <row r="1062" ht="20.1" customHeight="1" spans="1:8">
      <c r="A1062" s="5" t="str">
        <f t="shared" si="66"/>
        <v>221010</v>
      </c>
      <c r="B1062" s="5" t="str">
        <f>"2022113610"</f>
        <v>2022113610</v>
      </c>
      <c r="C1062" s="5" t="str">
        <f t="shared" si="67"/>
        <v>36</v>
      </c>
      <c r="D1062" s="5" t="str">
        <f>"10"</f>
        <v>10</v>
      </c>
      <c r="E1062" s="6">
        <v>130.5</v>
      </c>
      <c r="F1062" s="6">
        <v>94.1</v>
      </c>
      <c r="G1062" s="6">
        <v>74.8666666666667</v>
      </c>
      <c r="H1062" s="6" t="s">
        <v>9</v>
      </c>
    </row>
    <row r="1063" ht="20.1" customHeight="1" spans="1:8">
      <c r="A1063" s="5" t="str">
        <f t="shared" si="66"/>
        <v>221010</v>
      </c>
      <c r="B1063" s="5" t="str">
        <f>"2022113611"</f>
        <v>2022113611</v>
      </c>
      <c r="C1063" s="5" t="str">
        <f t="shared" si="67"/>
        <v>36</v>
      </c>
      <c r="D1063" s="5" t="str">
        <f>"11"</f>
        <v>11</v>
      </c>
      <c r="E1063" s="6">
        <v>0</v>
      </c>
      <c r="F1063" s="6">
        <v>0</v>
      </c>
      <c r="G1063" s="6">
        <v>0</v>
      </c>
      <c r="H1063" s="6" t="s">
        <v>10</v>
      </c>
    </row>
    <row r="1064" ht="20.1" customHeight="1" spans="1:8">
      <c r="A1064" s="5" t="str">
        <f t="shared" si="66"/>
        <v>221010</v>
      </c>
      <c r="B1064" s="5" t="str">
        <f>"2022113612"</f>
        <v>2022113612</v>
      </c>
      <c r="C1064" s="5" t="str">
        <f t="shared" si="67"/>
        <v>36</v>
      </c>
      <c r="D1064" s="5" t="str">
        <f>"12"</f>
        <v>12</v>
      </c>
      <c r="E1064" s="6">
        <v>0</v>
      </c>
      <c r="F1064" s="6">
        <v>0</v>
      </c>
      <c r="G1064" s="6">
        <v>0</v>
      </c>
      <c r="H1064" s="6" t="s">
        <v>10</v>
      </c>
    </row>
    <row r="1065" ht="20.1" customHeight="1" spans="1:8">
      <c r="A1065" s="5" t="str">
        <f t="shared" si="66"/>
        <v>221010</v>
      </c>
      <c r="B1065" s="5" t="str">
        <f>"2022113613"</f>
        <v>2022113613</v>
      </c>
      <c r="C1065" s="5" t="str">
        <f t="shared" si="67"/>
        <v>36</v>
      </c>
      <c r="D1065" s="5" t="str">
        <f>"13"</f>
        <v>13</v>
      </c>
      <c r="E1065" s="6">
        <v>0</v>
      </c>
      <c r="F1065" s="6">
        <v>0</v>
      </c>
      <c r="G1065" s="6">
        <v>0</v>
      </c>
      <c r="H1065" s="6" t="s">
        <v>10</v>
      </c>
    </row>
    <row r="1066" ht="20.1" customHeight="1" spans="1:8">
      <c r="A1066" s="5" t="str">
        <f t="shared" si="66"/>
        <v>221010</v>
      </c>
      <c r="B1066" s="5" t="str">
        <f>"2022113614"</f>
        <v>2022113614</v>
      </c>
      <c r="C1066" s="5" t="str">
        <f t="shared" si="67"/>
        <v>36</v>
      </c>
      <c r="D1066" s="5" t="str">
        <f>"14"</f>
        <v>14</v>
      </c>
      <c r="E1066" s="6">
        <v>123</v>
      </c>
      <c r="F1066" s="6">
        <v>101.5</v>
      </c>
      <c r="G1066" s="6">
        <v>74.8333333333333</v>
      </c>
      <c r="H1066" s="6" t="s">
        <v>9</v>
      </c>
    </row>
    <row r="1067" ht="20.1" customHeight="1" spans="1:8">
      <c r="A1067" s="5" t="str">
        <f t="shared" si="66"/>
        <v>221010</v>
      </c>
      <c r="B1067" s="5" t="str">
        <f>"2022113615"</f>
        <v>2022113615</v>
      </c>
      <c r="C1067" s="5" t="str">
        <f t="shared" si="67"/>
        <v>36</v>
      </c>
      <c r="D1067" s="5" t="str">
        <f>"15"</f>
        <v>15</v>
      </c>
      <c r="E1067" s="6">
        <v>108</v>
      </c>
      <c r="F1067" s="6">
        <v>106.1</v>
      </c>
      <c r="G1067" s="6">
        <v>71.3666666666667</v>
      </c>
      <c r="H1067" s="6" t="s">
        <v>9</v>
      </c>
    </row>
    <row r="1068" ht="20.1" customHeight="1" spans="1:8">
      <c r="A1068" s="5" t="str">
        <f t="shared" si="66"/>
        <v>221010</v>
      </c>
      <c r="B1068" s="5" t="str">
        <f>"2022113616"</f>
        <v>2022113616</v>
      </c>
      <c r="C1068" s="5" t="str">
        <f t="shared" si="67"/>
        <v>36</v>
      </c>
      <c r="D1068" s="5" t="str">
        <f>"16"</f>
        <v>16</v>
      </c>
      <c r="E1068" s="6">
        <v>102</v>
      </c>
      <c r="F1068" s="6">
        <v>108</v>
      </c>
      <c r="G1068" s="6">
        <v>70</v>
      </c>
      <c r="H1068" s="6" t="s">
        <v>9</v>
      </c>
    </row>
    <row r="1069" ht="20.1" customHeight="1" spans="1:8">
      <c r="A1069" s="5" t="str">
        <f t="shared" si="66"/>
        <v>221010</v>
      </c>
      <c r="B1069" s="5" t="str">
        <f>"2022113617"</f>
        <v>2022113617</v>
      </c>
      <c r="C1069" s="5" t="str">
        <f t="shared" si="67"/>
        <v>36</v>
      </c>
      <c r="D1069" s="5" t="str">
        <f>"17"</f>
        <v>17</v>
      </c>
      <c r="E1069" s="6">
        <v>0</v>
      </c>
      <c r="F1069" s="6">
        <v>0</v>
      </c>
      <c r="G1069" s="6">
        <v>0</v>
      </c>
      <c r="H1069" s="6" t="s">
        <v>10</v>
      </c>
    </row>
    <row r="1070" ht="20.1" customHeight="1" spans="1:8">
      <c r="A1070" s="5" t="str">
        <f t="shared" si="66"/>
        <v>221010</v>
      </c>
      <c r="B1070" s="5" t="str">
        <f>"2022113618"</f>
        <v>2022113618</v>
      </c>
      <c r="C1070" s="5" t="str">
        <f t="shared" si="67"/>
        <v>36</v>
      </c>
      <c r="D1070" s="5" t="str">
        <f>"18"</f>
        <v>18</v>
      </c>
      <c r="E1070" s="6">
        <v>123</v>
      </c>
      <c r="F1070" s="6">
        <v>105.6</v>
      </c>
      <c r="G1070" s="6">
        <v>76.2</v>
      </c>
      <c r="H1070" s="6" t="s">
        <v>9</v>
      </c>
    </row>
    <row r="1071" ht="20.1" customHeight="1" spans="1:8">
      <c r="A1071" s="5" t="str">
        <f t="shared" si="66"/>
        <v>221010</v>
      </c>
      <c r="B1071" s="5" t="str">
        <f>"2022113619"</f>
        <v>2022113619</v>
      </c>
      <c r="C1071" s="5" t="str">
        <f t="shared" si="67"/>
        <v>36</v>
      </c>
      <c r="D1071" s="5" t="str">
        <f>"19"</f>
        <v>19</v>
      </c>
      <c r="E1071" s="6">
        <v>0</v>
      </c>
      <c r="F1071" s="6">
        <v>0</v>
      </c>
      <c r="G1071" s="6">
        <v>0</v>
      </c>
      <c r="H1071" s="6" t="s">
        <v>10</v>
      </c>
    </row>
    <row r="1072" ht="20.1" customHeight="1" spans="1:8">
      <c r="A1072" s="5" t="str">
        <f t="shared" ref="A1072:A1090" si="68">"221010"</f>
        <v>221010</v>
      </c>
      <c r="B1072" s="5" t="str">
        <f>"2022113620"</f>
        <v>2022113620</v>
      </c>
      <c r="C1072" s="5" t="str">
        <f t="shared" si="67"/>
        <v>36</v>
      </c>
      <c r="D1072" s="5" t="str">
        <f>"20"</f>
        <v>20</v>
      </c>
      <c r="E1072" s="6">
        <v>109.5</v>
      </c>
      <c r="F1072" s="6">
        <v>93.6</v>
      </c>
      <c r="G1072" s="6">
        <v>67.7</v>
      </c>
      <c r="H1072" s="6" t="s">
        <v>9</v>
      </c>
    </row>
    <row r="1073" ht="20.1" customHeight="1" spans="1:8">
      <c r="A1073" s="5" t="str">
        <f t="shared" si="68"/>
        <v>221010</v>
      </c>
      <c r="B1073" s="5" t="str">
        <f>"2022113621"</f>
        <v>2022113621</v>
      </c>
      <c r="C1073" s="5" t="str">
        <f t="shared" si="67"/>
        <v>36</v>
      </c>
      <c r="D1073" s="5" t="str">
        <f>"21"</f>
        <v>21</v>
      </c>
      <c r="E1073" s="6">
        <v>117</v>
      </c>
      <c r="F1073" s="6">
        <v>117</v>
      </c>
      <c r="G1073" s="6">
        <v>78</v>
      </c>
      <c r="H1073" s="7" t="s">
        <v>11</v>
      </c>
    </row>
    <row r="1074" ht="20.1" customHeight="1" spans="1:8">
      <c r="A1074" s="5" t="str">
        <f t="shared" si="68"/>
        <v>221010</v>
      </c>
      <c r="B1074" s="5" t="str">
        <f>"2022113622"</f>
        <v>2022113622</v>
      </c>
      <c r="C1074" s="5" t="str">
        <f t="shared" si="67"/>
        <v>36</v>
      </c>
      <c r="D1074" s="5" t="str">
        <f>"22"</f>
        <v>22</v>
      </c>
      <c r="E1074" s="6">
        <v>120</v>
      </c>
      <c r="F1074" s="6">
        <v>105.4</v>
      </c>
      <c r="G1074" s="6">
        <v>75.1333333333333</v>
      </c>
      <c r="H1074" s="6" t="s">
        <v>9</v>
      </c>
    </row>
    <row r="1075" ht="20.1" customHeight="1" spans="1:8">
      <c r="A1075" s="5" t="str">
        <f t="shared" si="68"/>
        <v>221010</v>
      </c>
      <c r="B1075" s="5" t="str">
        <f>"2022113623"</f>
        <v>2022113623</v>
      </c>
      <c r="C1075" s="5" t="str">
        <f t="shared" si="67"/>
        <v>36</v>
      </c>
      <c r="D1075" s="5" t="str">
        <f>"23"</f>
        <v>23</v>
      </c>
      <c r="E1075" s="6">
        <v>100.5</v>
      </c>
      <c r="F1075" s="6">
        <v>93.3</v>
      </c>
      <c r="G1075" s="6">
        <v>64.6</v>
      </c>
      <c r="H1075" s="6" t="s">
        <v>9</v>
      </c>
    </row>
    <row r="1076" ht="20.1" customHeight="1" spans="1:8">
      <c r="A1076" s="5" t="str">
        <f t="shared" si="68"/>
        <v>221010</v>
      </c>
      <c r="B1076" s="5" t="str">
        <f>"2022113624"</f>
        <v>2022113624</v>
      </c>
      <c r="C1076" s="5" t="str">
        <f t="shared" si="67"/>
        <v>36</v>
      </c>
      <c r="D1076" s="5" t="str">
        <f>"24"</f>
        <v>24</v>
      </c>
      <c r="E1076" s="6">
        <v>0</v>
      </c>
      <c r="F1076" s="6">
        <v>0</v>
      </c>
      <c r="G1076" s="6">
        <v>0</v>
      </c>
      <c r="H1076" s="6" t="s">
        <v>10</v>
      </c>
    </row>
    <row r="1077" ht="20.1" customHeight="1" spans="1:8">
      <c r="A1077" s="5" t="str">
        <f t="shared" si="68"/>
        <v>221010</v>
      </c>
      <c r="B1077" s="5" t="str">
        <f>"2022113625"</f>
        <v>2022113625</v>
      </c>
      <c r="C1077" s="5" t="str">
        <f t="shared" si="67"/>
        <v>36</v>
      </c>
      <c r="D1077" s="5" t="str">
        <f>"25"</f>
        <v>25</v>
      </c>
      <c r="E1077" s="6">
        <v>0</v>
      </c>
      <c r="F1077" s="6">
        <v>0</v>
      </c>
      <c r="G1077" s="6">
        <v>0</v>
      </c>
      <c r="H1077" s="6" t="s">
        <v>10</v>
      </c>
    </row>
    <row r="1078" ht="20.1" customHeight="1" spans="1:8">
      <c r="A1078" s="5" t="str">
        <f t="shared" si="68"/>
        <v>221010</v>
      </c>
      <c r="B1078" s="5" t="str">
        <f>"2022113626"</f>
        <v>2022113626</v>
      </c>
      <c r="C1078" s="5" t="str">
        <f t="shared" si="67"/>
        <v>36</v>
      </c>
      <c r="D1078" s="5" t="str">
        <f>"26"</f>
        <v>26</v>
      </c>
      <c r="E1078" s="6">
        <v>112.5</v>
      </c>
      <c r="F1078" s="6">
        <v>91.7</v>
      </c>
      <c r="G1078" s="6">
        <v>68.0666666666667</v>
      </c>
      <c r="H1078" s="6" t="s">
        <v>9</v>
      </c>
    </row>
    <row r="1079" ht="20.1" customHeight="1" spans="1:8">
      <c r="A1079" s="5" t="str">
        <f t="shared" si="68"/>
        <v>221010</v>
      </c>
      <c r="B1079" s="5" t="str">
        <f>"2022113627"</f>
        <v>2022113627</v>
      </c>
      <c r="C1079" s="5" t="str">
        <f t="shared" si="67"/>
        <v>36</v>
      </c>
      <c r="D1079" s="5" t="str">
        <f>"27"</f>
        <v>27</v>
      </c>
      <c r="E1079" s="6">
        <v>120</v>
      </c>
      <c r="F1079" s="6">
        <v>87.5</v>
      </c>
      <c r="G1079" s="6">
        <v>69.1666666666667</v>
      </c>
      <c r="H1079" s="6" t="s">
        <v>9</v>
      </c>
    </row>
    <row r="1080" ht="20.1" customHeight="1" spans="1:8">
      <c r="A1080" s="5" t="str">
        <f t="shared" si="68"/>
        <v>221010</v>
      </c>
      <c r="B1080" s="5" t="str">
        <f>"2022113628"</f>
        <v>2022113628</v>
      </c>
      <c r="C1080" s="5" t="str">
        <f t="shared" si="67"/>
        <v>36</v>
      </c>
      <c r="D1080" s="5" t="str">
        <f>"28"</f>
        <v>28</v>
      </c>
      <c r="E1080" s="6">
        <v>102</v>
      </c>
      <c r="F1080" s="6">
        <v>115</v>
      </c>
      <c r="G1080" s="6">
        <v>72.3333333333333</v>
      </c>
      <c r="H1080" s="6" t="s">
        <v>9</v>
      </c>
    </row>
    <row r="1081" ht="20.1" customHeight="1" spans="1:8">
      <c r="A1081" s="5" t="str">
        <f t="shared" si="68"/>
        <v>221010</v>
      </c>
      <c r="B1081" s="5" t="str">
        <f>"2022113629"</f>
        <v>2022113629</v>
      </c>
      <c r="C1081" s="5" t="str">
        <f t="shared" si="67"/>
        <v>36</v>
      </c>
      <c r="D1081" s="5" t="str">
        <f>"29"</f>
        <v>29</v>
      </c>
      <c r="E1081" s="6">
        <v>124.5</v>
      </c>
      <c r="F1081" s="6">
        <v>116.5</v>
      </c>
      <c r="G1081" s="6">
        <v>80.3333333333333</v>
      </c>
      <c r="H1081" s="7" t="s">
        <v>11</v>
      </c>
    </row>
    <row r="1082" ht="20.1" customHeight="1" spans="1:8">
      <c r="A1082" s="5" t="str">
        <f t="shared" si="68"/>
        <v>221010</v>
      </c>
      <c r="B1082" s="5" t="str">
        <f>"2022113630"</f>
        <v>2022113630</v>
      </c>
      <c r="C1082" s="5" t="str">
        <f t="shared" si="67"/>
        <v>36</v>
      </c>
      <c r="D1082" s="5" t="str">
        <f>"30"</f>
        <v>30</v>
      </c>
      <c r="E1082" s="6">
        <v>132</v>
      </c>
      <c r="F1082" s="6">
        <v>112.4</v>
      </c>
      <c r="G1082" s="6">
        <v>81.4666666666667</v>
      </c>
      <c r="H1082" s="7" t="s">
        <v>11</v>
      </c>
    </row>
    <row r="1083" ht="20.1" customHeight="1" spans="1:8">
      <c r="A1083" s="5" t="str">
        <f t="shared" si="68"/>
        <v>221010</v>
      </c>
      <c r="B1083" s="5" t="str">
        <f>"2022113701"</f>
        <v>2022113701</v>
      </c>
      <c r="C1083" s="5" t="str">
        <f t="shared" ref="C1083:C1112" si="69">"37"</f>
        <v>37</v>
      </c>
      <c r="D1083" s="5" t="str">
        <f>"01"</f>
        <v>01</v>
      </c>
      <c r="E1083" s="6">
        <v>120</v>
      </c>
      <c r="F1083" s="6">
        <v>102.7</v>
      </c>
      <c r="G1083" s="6">
        <v>74.2333333333333</v>
      </c>
      <c r="H1083" s="6" t="s">
        <v>9</v>
      </c>
    </row>
    <row r="1084" ht="20.1" customHeight="1" spans="1:8">
      <c r="A1084" s="5" t="str">
        <f t="shared" si="68"/>
        <v>221010</v>
      </c>
      <c r="B1084" s="5" t="str">
        <f>"2022113702"</f>
        <v>2022113702</v>
      </c>
      <c r="C1084" s="5" t="str">
        <f t="shared" si="69"/>
        <v>37</v>
      </c>
      <c r="D1084" s="5" t="str">
        <f>"02"</f>
        <v>02</v>
      </c>
      <c r="E1084" s="6">
        <v>0</v>
      </c>
      <c r="F1084" s="6">
        <v>0</v>
      </c>
      <c r="G1084" s="6">
        <v>0</v>
      </c>
      <c r="H1084" s="6" t="s">
        <v>10</v>
      </c>
    </row>
    <row r="1085" ht="20.1" customHeight="1" spans="1:8">
      <c r="A1085" s="5" t="str">
        <f t="shared" si="68"/>
        <v>221010</v>
      </c>
      <c r="B1085" s="5" t="str">
        <f>"2022113703"</f>
        <v>2022113703</v>
      </c>
      <c r="C1085" s="5" t="str">
        <f t="shared" si="69"/>
        <v>37</v>
      </c>
      <c r="D1085" s="5" t="str">
        <f>"03"</f>
        <v>03</v>
      </c>
      <c r="E1085" s="6">
        <v>108</v>
      </c>
      <c r="F1085" s="6">
        <v>112.7</v>
      </c>
      <c r="G1085" s="6">
        <v>73.5666666666667</v>
      </c>
      <c r="H1085" s="6" t="s">
        <v>9</v>
      </c>
    </row>
    <row r="1086" ht="20.1" customHeight="1" spans="1:8">
      <c r="A1086" s="5" t="str">
        <f t="shared" si="68"/>
        <v>221010</v>
      </c>
      <c r="B1086" s="5" t="str">
        <f>"2022113704"</f>
        <v>2022113704</v>
      </c>
      <c r="C1086" s="5" t="str">
        <f t="shared" si="69"/>
        <v>37</v>
      </c>
      <c r="D1086" s="5" t="str">
        <f>"04"</f>
        <v>04</v>
      </c>
      <c r="E1086" s="6">
        <v>0</v>
      </c>
      <c r="F1086" s="6">
        <v>0</v>
      </c>
      <c r="G1086" s="6">
        <v>0</v>
      </c>
      <c r="H1086" s="6" t="s">
        <v>10</v>
      </c>
    </row>
    <row r="1087" ht="20.1" customHeight="1" spans="1:8">
      <c r="A1087" s="5" t="str">
        <f t="shared" si="68"/>
        <v>221010</v>
      </c>
      <c r="B1087" s="5" t="str">
        <f>"2022113705"</f>
        <v>2022113705</v>
      </c>
      <c r="C1087" s="5" t="str">
        <f t="shared" si="69"/>
        <v>37</v>
      </c>
      <c r="D1087" s="5" t="str">
        <f>"05"</f>
        <v>05</v>
      </c>
      <c r="E1087" s="6">
        <v>105</v>
      </c>
      <c r="F1087" s="6">
        <v>103</v>
      </c>
      <c r="G1087" s="6">
        <v>69.3333333333333</v>
      </c>
      <c r="H1087" s="6" t="s">
        <v>9</v>
      </c>
    </row>
    <row r="1088" ht="20.1" customHeight="1" spans="1:8">
      <c r="A1088" s="5" t="str">
        <f t="shared" si="68"/>
        <v>221010</v>
      </c>
      <c r="B1088" s="5" t="str">
        <f>"2022113706"</f>
        <v>2022113706</v>
      </c>
      <c r="C1088" s="5" t="str">
        <f t="shared" si="69"/>
        <v>37</v>
      </c>
      <c r="D1088" s="5" t="str">
        <f>"06"</f>
        <v>06</v>
      </c>
      <c r="E1088" s="6">
        <v>117</v>
      </c>
      <c r="F1088" s="6">
        <v>111.9</v>
      </c>
      <c r="G1088" s="6">
        <v>76.3</v>
      </c>
      <c r="H1088" s="6" t="s">
        <v>9</v>
      </c>
    </row>
    <row r="1089" ht="20.1" customHeight="1" spans="1:8">
      <c r="A1089" s="5" t="str">
        <f t="shared" si="68"/>
        <v>221010</v>
      </c>
      <c r="B1089" s="5" t="str">
        <f>"2022113707"</f>
        <v>2022113707</v>
      </c>
      <c r="C1089" s="5" t="str">
        <f t="shared" si="69"/>
        <v>37</v>
      </c>
      <c r="D1089" s="5" t="str">
        <f>"07"</f>
        <v>07</v>
      </c>
      <c r="E1089" s="6">
        <v>118.5</v>
      </c>
      <c r="F1089" s="6">
        <v>113.3</v>
      </c>
      <c r="G1089" s="6">
        <v>77.2666666666667</v>
      </c>
      <c r="H1089" s="6" t="s">
        <v>9</v>
      </c>
    </row>
    <row r="1090" ht="20.1" customHeight="1" spans="1:8">
      <c r="A1090" s="5" t="str">
        <f t="shared" si="68"/>
        <v>221010</v>
      </c>
      <c r="B1090" s="5" t="str">
        <f>"2022113708"</f>
        <v>2022113708</v>
      </c>
      <c r="C1090" s="5" t="str">
        <f t="shared" si="69"/>
        <v>37</v>
      </c>
      <c r="D1090" s="5" t="str">
        <f>"08"</f>
        <v>08</v>
      </c>
      <c r="E1090" s="6">
        <v>0</v>
      </c>
      <c r="F1090" s="6">
        <v>0</v>
      </c>
      <c r="G1090" s="6">
        <v>0</v>
      </c>
      <c r="H1090" s="6" t="s">
        <v>10</v>
      </c>
    </row>
    <row r="1091" ht="20.1" customHeight="1" spans="1:8">
      <c r="A1091" s="5" t="str">
        <f t="shared" ref="A1091:A1122" si="70">"221011"</f>
        <v>221011</v>
      </c>
      <c r="B1091" s="5" t="str">
        <f>"2022113709"</f>
        <v>2022113709</v>
      </c>
      <c r="C1091" s="5" t="str">
        <f t="shared" si="69"/>
        <v>37</v>
      </c>
      <c r="D1091" s="5" t="str">
        <f>"09"</f>
        <v>09</v>
      </c>
      <c r="E1091" s="6">
        <v>93</v>
      </c>
      <c r="F1091" s="6">
        <v>93.6</v>
      </c>
      <c r="G1091" s="6">
        <v>62.2</v>
      </c>
      <c r="H1091" s="6" t="s">
        <v>9</v>
      </c>
    </row>
    <row r="1092" ht="20.1" customHeight="1" spans="1:8">
      <c r="A1092" s="5" t="str">
        <f t="shared" si="70"/>
        <v>221011</v>
      </c>
      <c r="B1092" s="5" t="str">
        <f>"2022113710"</f>
        <v>2022113710</v>
      </c>
      <c r="C1092" s="5" t="str">
        <f t="shared" si="69"/>
        <v>37</v>
      </c>
      <c r="D1092" s="5" t="str">
        <f>"10"</f>
        <v>10</v>
      </c>
      <c r="E1092" s="6">
        <v>0</v>
      </c>
      <c r="F1092" s="6">
        <v>0</v>
      </c>
      <c r="G1092" s="6">
        <v>0</v>
      </c>
      <c r="H1092" s="6" t="s">
        <v>10</v>
      </c>
    </row>
    <row r="1093" ht="20.1" customHeight="1" spans="1:8">
      <c r="A1093" s="5" t="str">
        <f t="shared" si="70"/>
        <v>221011</v>
      </c>
      <c r="B1093" s="5" t="str">
        <f>"2022113711"</f>
        <v>2022113711</v>
      </c>
      <c r="C1093" s="5" t="str">
        <f t="shared" si="69"/>
        <v>37</v>
      </c>
      <c r="D1093" s="5" t="str">
        <f>"11"</f>
        <v>11</v>
      </c>
      <c r="E1093" s="6">
        <v>0</v>
      </c>
      <c r="F1093" s="6">
        <v>0</v>
      </c>
      <c r="G1093" s="6">
        <v>0</v>
      </c>
      <c r="H1093" s="6" t="s">
        <v>10</v>
      </c>
    </row>
    <row r="1094" ht="20.1" customHeight="1" spans="1:8">
      <c r="A1094" s="5" t="str">
        <f t="shared" si="70"/>
        <v>221011</v>
      </c>
      <c r="B1094" s="5" t="str">
        <f>"2022113712"</f>
        <v>2022113712</v>
      </c>
      <c r="C1094" s="5" t="str">
        <f t="shared" si="69"/>
        <v>37</v>
      </c>
      <c r="D1094" s="5" t="str">
        <f>"12"</f>
        <v>12</v>
      </c>
      <c r="E1094" s="6">
        <v>0</v>
      </c>
      <c r="F1094" s="6">
        <v>0</v>
      </c>
      <c r="G1094" s="6">
        <v>0</v>
      </c>
      <c r="H1094" s="6" t="s">
        <v>10</v>
      </c>
    </row>
    <row r="1095" ht="20.1" customHeight="1" spans="1:8">
      <c r="A1095" s="5" t="str">
        <f t="shared" si="70"/>
        <v>221011</v>
      </c>
      <c r="B1095" s="5" t="str">
        <f>"2022113713"</f>
        <v>2022113713</v>
      </c>
      <c r="C1095" s="5" t="str">
        <f t="shared" si="69"/>
        <v>37</v>
      </c>
      <c r="D1095" s="5" t="str">
        <f>"13"</f>
        <v>13</v>
      </c>
      <c r="E1095" s="6">
        <v>114</v>
      </c>
      <c r="F1095" s="6">
        <v>110.6</v>
      </c>
      <c r="G1095" s="6">
        <v>74.8666666666667</v>
      </c>
      <c r="H1095" s="6" t="s">
        <v>9</v>
      </c>
    </row>
    <row r="1096" ht="20.1" customHeight="1" spans="1:8">
      <c r="A1096" s="5" t="str">
        <f t="shared" si="70"/>
        <v>221011</v>
      </c>
      <c r="B1096" s="5" t="str">
        <f>"2022113714"</f>
        <v>2022113714</v>
      </c>
      <c r="C1096" s="5" t="str">
        <f t="shared" si="69"/>
        <v>37</v>
      </c>
      <c r="D1096" s="5" t="str">
        <f>"14"</f>
        <v>14</v>
      </c>
      <c r="E1096" s="6">
        <v>0</v>
      </c>
      <c r="F1096" s="6">
        <v>0</v>
      </c>
      <c r="G1096" s="6">
        <v>0</v>
      </c>
      <c r="H1096" s="6" t="s">
        <v>10</v>
      </c>
    </row>
    <row r="1097" ht="20.1" customHeight="1" spans="1:8">
      <c r="A1097" s="5" t="str">
        <f t="shared" si="70"/>
        <v>221011</v>
      </c>
      <c r="B1097" s="5" t="str">
        <f>"2022113715"</f>
        <v>2022113715</v>
      </c>
      <c r="C1097" s="5" t="str">
        <f t="shared" si="69"/>
        <v>37</v>
      </c>
      <c r="D1097" s="5" t="str">
        <f>"15"</f>
        <v>15</v>
      </c>
      <c r="E1097" s="6">
        <v>109.5</v>
      </c>
      <c r="F1097" s="6">
        <v>109.1</v>
      </c>
      <c r="G1097" s="6">
        <v>72.8666666666667</v>
      </c>
      <c r="H1097" s="6" t="s">
        <v>9</v>
      </c>
    </row>
    <row r="1098" ht="20.1" customHeight="1" spans="1:8">
      <c r="A1098" s="5" t="str">
        <f t="shared" si="70"/>
        <v>221011</v>
      </c>
      <c r="B1098" s="5" t="str">
        <f>"2022113716"</f>
        <v>2022113716</v>
      </c>
      <c r="C1098" s="5" t="str">
        <f t="shared" si="69"/>
        <v>37</v>
      </c>
      <c r="D1098" s="5" t="str">
        <f>"16"</f>
        <v>16</v>
      </c>
      <c r="E1098" s="6">
        <v>133.5</v>
      </c>
      <c r="F1098" s="6">
        <v>115.2</v>
      </c>
      <c r="G1098" s="6">
        <v>82.9</v>
      </c>
      <c r="H1098" s="7" t="s">
        <v>11</v>
      </c>
    </row>
    <row r="1099" ht="20.1" customHeight="1" spans="1:8">
      <c r="A1099" s="5" t="str">
        <f t="shared" si="70"/>
        <v>221011</v>
      </c>
      <c r="B1099" s="5" t="str">
        <f>"2022113717"</f>
        <v>2022113717</v>
      </c>
      <c r="C1099" s="5" t="str">
        <f t="shared" si="69"/>
        <v>37</v>
      </c>
      <c r="D1099" s="5" t="str">
        <f>"17"</f>
        <v>17</v>
      </c>
      <c r="E1099" s="6">
        <v>0</v>
      </c>
      <c r="F1099" s="6">
        <v>0</v>
      </c>
      <c r="G1099" s="6">
        <v>0</v>
      </c>
      <c r="H1099" s="6" t="s">
        <v>10</v>
      </c>
    </row>
    <row r="1100" ht="20.1" customHeight="1" spans="1:8">
      <c r="A1100" s="5" t="str">
        <f t="shared" si="70"/>
        <v>221011</v>
      </c>
      <c r="B1100" s="5" t="str">
        <f>"2022113718"</f>
        <v>2022113718</v>
      </c>
      <c r="C1100" s="5" t="str">
        <f t="shared" si="69"/>
        <v>37</v>
      </c>
      <c r="D1100" s="5" t="str">
        <f>"18"</f>
        <v>18</v>
      </c>
      <c r="E1100" s="6">
        <v>103.5</v>
      </c>
      <c r="F1100" s="6">
        <v>110.5</v>
      </c>
      <c r="G1100" s="6">
        <v>71.3333333333333</v>
      </c>
      <c r="H1100" s="6" t="s">
        <v>9</v>
      </c>
    </row>
    <row r="1101" ht="20.1" customHeight="1" spans="1:8">
      <c r="A1101" s="5" t="str">
        <f t="shared" si="70"/>
        <v>221011</v>
      </c>
      <c r="B1101" s="5" t="str">
        <f>"2022113719"</f>
        <v>2022113719</v>
      </c>
      <c r="C1101" s="5" t="str">
        <f t="shared" si="69"/>
        <v>37</v>
      </c>
      <c r="D1101" s="5" t="str">
        <f>"19"</f>
        <v>19</v>
      </c>
      <c r="E1101" s="6">
        <v>108</v>
      </c>
      <c r="F1101" s="6">
        <v>94.5</v>
      </c>
      <c r="G1101" s="6">
        <v>67.5</v>
      </c>
      <c r="H1101" s="6" t="s">
        <v>9</v>
      </c>
    </row>
    <row r="1102" ht="20.1" customHeight="1" spans="1:8">
      <c r="A1102" s="5" t="str">
        <f t="shared" si="70"/>
        <v>221011</v>
      </c>
      <c r="B1102" s="5" t="str">
        <f>"2022113720"</f>
        <v>2022113720</v>
      </c>
      <c r="C1102" s="5" t="str">
        <f t="shared" si="69"/>
        <v>37</v>
      </c>
      <c r="D1102" s="5" t="str">
        <f>"20"</f>
        <v>20</v>
      </c>
      <c r="E1102" s="6">
        <v>0</v>
      </c>
      <c r="F1102" s="6">
        <v>0</v>
      </c>
      <c r="G1102" s="6">
        <v>0</v>
      </c>
      <c r="H1102" s="6" t="s">
        <v>10</v>
      </c>
    </row>
    <row r="1103" ht="20.1" customHeight="1" spans="1:8">
      <c r="A1103" s="5" t="str">
        <f t="shared" si="70"/>
        <v>221011</v>
      </c>
      <c r="B1103" s="5" t="str">
        <f>"2022113721"</f>
        <v>2022113721</v>
      </c>
      <c r="C1103" s="5" t="str">
        <f t="shared" si="69"/>
        <v>37</v>
      </c>
      <c r="D1103" s="5" t="str">
        <f>"21"</f>
        <v>21</v>
      </c>
      <c r="E1103" s="6">
        <v>106.5</v>
      </c>
      <c r="F1103" s="6">
        <v>99.6</v>
      </c>
      <c r="G1103" s="6">
        <v>68.7</v>
      </c>
      <c r="H1103" s="6" t="s">
        <v>9</v>
      </c>
    </row>
    <row r="1104" ht="20.1" customHeight="1" spans="1:8">
      <c r="A1104" s="5" t="str">
        <f t="shared" si="70"/>
        <v>221011</v>
      </c>
      <c r="B1104" s="5" t="str">
        <f>"2022113722"</f>
        <v>2022113722</v>
      </c>
      <c r="C1104" s="5" t="str">
        <f t="shared" si="69"/>
        <v>37</v>
      </c>
      <c r="D1104" s="5" t="str">
        <f>"22"</f>
        <v>22</v>
      </c>
      <c r="E1104" s="6">
        <v>0</v>
      </c>
      <c r="F1104" s="6">
        <v>0</v>
      </c>
      <c r="G1104" s="6">
        <v>0</v>
      </c>
      <c r="H1104" s="6" t="s">
        <v>10</v>
      </c>
    </row>
    <row r="1105" ht="20.1" customHeight="1" spans="1:8">
      <c r="A1105" s="5" t="str">
        <f t="shared" si="70"/>
        <v>221011</v>
      </c>
      <c r="B1105" s="5" t="str">
        <f>"2022113723"</f>
        <v>2022113723</v>
      </c>
      <c r="C1105" s="5" t="str">
        <f t="shared" si="69"/>
        <v>37</v>
      </c>
      <c r="D1105" s="5" t="str">
        <f>"23"</f>
        <v>23</v>
      </c>
      <c r="E1105" s="6">
        <v>117</v>
      </c>
      <c r="F1105" s="6">
        <v>98.9</v>
      </c>
      <c r="G1105" s="6">
        <v>71.9666666666667</v>
      </c>
      <c r="H1105" s="6" t="s">
        <v>9</v>
      </c>
    </row>
    <row r="1106" ht="20.1" customHeight="1" spans="1:8">
      <c r="A1106" s="5" t="str">
        <f t="shared" si="70"/>
        <v>221011</v>
      </c>
      <c r="B1106" s="5" t="str">
        <f>"2022113724"</f>
        <v>2022113724</v>
      </c>
      <c r="C1106" s="5" t="str">
        <f t="shared" si="69"/>
        <v>37</v>
      </c>
      <c r="D1106" s="5" t="str">
        <f>"24"</f>
        <v>24</v>
      </c>
      <c r="E1106" s="6">
        <v>0</v>
      </c>
      <c r="F1106" s="6">
        <v>0</v>
      </c>
      <c r="G1106" s="6">
        <v>0</v>
      </c>
      <c r="H1106" s="6" t="s">
        <v>10</v>
      </c>
    </row>
    <row r="1107" ht="20.1" customHeight="1" spans="1:8">
      <c r="A1107" s="5" t="str">
        <f t="shared" si="70"/>
        <v>221011</v>
      </c>
      <c r="B1107" s="5" t="str">
        <f>"2022113725"</f>
        <v>2022113725</v>
      </c>
      <c r="C1107" s="5" t="str">
        <f t="shared" si="69"/>
        <v>37</v>
      </c>
      <c r="D1107" s="5" t="str">
        <f>"25"</f>
        <v>25</v>
      </c>
      <c r="E1107" s="6">
        <v>132</v>
      </c>
      <c r="F1107" s="6">
        <v>115.4</v>
      </c>
      <c r="G1107" s="6">
        <v>82.4666666666667</v>
      </c>
      <c r="H1107" s="7" t="s">
        <v>11</v>
      </c>
    </row>
    <row r="1108" ht="20.1" customHeight="1" spans="1:8">
      <c r="A1108" s="5" t="str">
        <f t="shared" si="70"/>
        <v>221011</v>
      </c>
      <c r="B1108" s="5" t="str">
        <f>"2022113726"</f>
        <v>2022113726</v>
      </c>
      <c r="C1108" s="5" t="str">
        <f t="shared" si="69"/>
        <v>37</v>
      </c>
      <c r="D1108" s="5" t="str">
        <f>"26"</f>
        <v>26</v>
      </c>
      <c r="E1108" s="6">
        <v>106.5</v>
      </c>
      <c r="F1108" s="6">
        <v>70.9</v>
      </c>
      <c r="G1108" s="6">
        <v>59.1333333333333</v>
      </c>
      <c r="H1108" s="6" t="s">
        <v>9</v>
      </c>
    </row>
    <row r="1109" ht="20.1" customHeight="1" spans="1:8">
      <c r="A1109" s="5" t="str">
        <f t="shared" si="70"/>
        <v>221011</v>
      </c>
      <c r="B1109" s="5" t="str">
        <f>"2022113727"</f>
        <v>2022113727</v>
      </c>
      <c r="C1109" s="5" t="str">
        <f t="shared" si="69"/>
        <v>37</v>
      </c>
      <c r="D1109" s="5" t="str">
        <f>"27"</f>
        <v>27</v>
      </c>
      <c r="E1109" s="6">
        <v>91.5</v>
      </c>
      <c r="F1109" s="6">
        <v>107.5</v>
      </c>
      <c r="G1109" s="6">
        <v>66.3333333333333</v>
      </c>
      <c r="H1109" s="6" t="s">
        <v>9</v>
      </c>
    </row>
    <row r="1110" ht="20.1" customHeight="1" spans="1:8">
      <c r="A1110" s="5" t="str">
        <f t="shared" si="70"/>
        <v>221011</v>
      </c>
      <c r="B1110" s="5" t="str">
        <f>"2022113728"</f>
        <v>2022113728</v>
      </c>
      <c r="C1110" s="5" t="str">
        <f t="shared" si="69"/>
        <v>37</v>
      </c>
      <c r="D1110" s="5" t="str">
        <f>"28"</f>
        <v>28</v>
      </c>
      <c r="E1110" s="6">
        <v>0</v>
      </c>
      <c r="F1110" s="6">
        <v>0</v>
      </c>
      <c r="G1110" s="6">
        <v>0</v>
      </c>
      <c r="H1110" s="6" t="s">
        <v>10</v>
      </c>
    </row>
    <row r="1111" ht="20.1" customHeight="1" spans="1:8">
      <c r="A1111" s="5" t="str">
        <f t="shared" si="70"/>
        <v>221011</v>
      </c>
      <c r="B1111" s="5" t="str">
        <f>"2022113729"</f>
        <v>2022113729</v>
      </c>
      <c r="C1111" s="5" t="str">
        <f t="shared" si="69"/>
        <v>37</v>
      </c>
      <c r="D1111" s="5" t="str">
        <f>"29"</f>
        <v>29</v>
      </c>
      <c r="E1111" s="6">
        <v>102.5</v>
      </c>
      <c r="F1111" s="6">
        <v>109.2</v>
      </c>
      <c r="G1111" s="6">
        <v>70.5666666666667</v>
      </c>
      <c r="H1111" s="5" t="s">
        <v>12</v>
      </c>
    </row>
    <row r="1112" ht="20.1" customHeight="1" spans="1:8">
      <c r="A1112" s="5" t="str">
        <f t="shared" si="70"/>
        <v>221011</v>
      </c>
      <c r="B1112" s="5" t="str">
        <f>"2022113730"</f>
        <v>2022113730</v>
      </c>
      <c r="C1112" s="5" t="str">
        <f t="shared" si="69"/>
        <v>37</v>
      </c>
      <c r="D1112" s="5" t="str">
        <f>"30"</f>
        <v>30</v>
      </c>
      <c r="E1112" s="6">
        <v>97.5</v>
      </c>
      <c r="F1112" s="6">
        <v>114</v>
      </c>
      <c r="G1112" s="6">
        <v>70.5</v>
      </c>
      <c r="H1112" s="6" t="s">
        <v>9</v>
      </c>
    </row>
    <row r="1113" ht="20.1" customHeight="1" spans="1:8">
      <c r="A1113" s="5" t="str">
        <f t="shared" si="70"/>
        <v>221011</v>
      </c>
      <c r="B1113" s="5" t="str">
        <f>"2022113801"</f>
        <v>2022113801</v>
      </c>
      <c r="C1113" s="5" t="str">
        <f t="shared" ref="C1113:C1142" si="71">"38"</f>
        <v>38</v>
      </c>
      <c r="D1113" s="5" t="str">
        <f>"01"</f>
        <v>01</v>
      </c>
      <c r="E1113" s="6">
        <v>0</v>
      </c>
      <c r="F1113" s="6">
        <v>0</v>
      </c>
      <c r="G1113" s="6">
        <v>0</v>
      </c>
      <c r="H1113" s="6" t="s">
        <v>10</v>
      </c>
    </row>
    <row r="1114" ht="20.1" customHeight="1" spans="1:8">
      <c r="A1114" s="5" t="str">
        <f t="shared" si="70"/>
        <v>221011</v>
      </c>
      <c r="B1114" s="5" t="str">
        <f>"2022113802"</f>
        <v>2022113802</v>
      </c>
      <c r="C1114" s="5" t="str">
        <f t="shared" si="71"/>
        <v>38</v>
      </c>
      <c r="D1114" s="5" t="str">
        <f>"02"</f>
        <v>02</v>
      </c>
      <c r="E1114" s="6">
        <v>133.5</v>
      </c>
      <c r="F1114" s="6">
        <v>108.9</v>
      </c>
      <c r="G1114" s="6">
        <v>80.8</v>
      </c>
      <c r="H1114" s="7" t="s">
        <v>11</v>
      </c>
    </row>
    <row r="1115" ht="20.1" customHeight="1" spans="1:8">
      <c r="A1115" s="5" t="str">
        <f t="shared" si="70"/>
        <v>221011</v>
      </c>
      <c r="B1115" s="5" t="str">
        <f>"2022113803"</f>
        <v>2022113803</v>
      </c>
      <c r="C1115" s="5" t="str">
        <f t="shared" si="71"/>
        <v>38</v>
      </c>
      <c r="D1115" s="5" t="str">
        <f>"03"</f>
        <v>03</v>
      </c>
      <c r="E1115" s="6">
        <v>0</v>
      </c>
      <c r="F1115" s="6">
        <v>0</v>
      </c>
      <c r="G1115" s="6">
        <v>0</v>
      </c>
      <c r="H1115" s="6" t="s">
        <v>10</v>
      </c>
    </row>
    <row r="1116" ht="20.1" customHeight="1" spans="1:8">
      <c r="A1116" s="5" t="str">
        <f t="shared" si="70"/>
        <v>221011</v>
      </c>
      <c r="B1116" s="5" t="str">
        <f>"2022113804"</f>
        <v>2022113804</v>
      </c>
      <c r="C1116" s="5" t="str">
        <f t="shared" si="71"/>
        <v>38</v>
      </c>
      <c r="D1116" s="5" t="str">
        <f>"04"</f>
        <v>04</v>
      </c>
      <c r="E1116" s="6">
        <v>0</v>
      </c>
      <c r="F1116" s="6">
        <v>0</v>
      </c>
      <c r="G1116" s="6">
        <v>0</v>
      </c>
      <c r="H1116" s="6" t="s">
        <v>10</v>
      </c>
    </row>
    <row r="1117" ht="20.1" customHeight="1" spans="1:8">
      <c r="A1117" s="5" t="str">
        <f t="shared" si="70"/>
        <v>221011</v>
      </c>
      <c r="B1117" s="5" t="str">
        <f>"2022113805"</f>
        <v>2022113805</v>
      </c>
      <c r="C1117" s="5" t="str">
        <f t="shared" si="71"/>
        <v>38</v>
      </c>
      <c r="D1117" s="5" t="str">
        <f>"05"</f>
        <v>05</v>
      </c>
      <c r="E1117" s="6">
        <v>0</v>
      </c>
      <c r="F1117" s="6">
        <v>0</v>
      </c>
      <c r="G1117" s="6">
        <v>0</v>
      </c>
      <c r="H1117" s="6" t="s">
        <v>10</v>
      </c>
    </row>
    <row r="1118" ht="20.1" customHeight="1" spans="1:8">
      <c r="A1118" s="5" t="str">
        <f t="shared" si="70"/>
        <v>221011</v>
      </c>
      <c r="B1118" s="5" t="str">
        <f>"2022113806"</f>
        <v>2022113806</v>
      </c>
      <c r="C1118" s="5" t="str">
        <f t="shared" si="71"/>
        <v>38</v>
      </c>
      <c r="D1118" s="5" t="str">
        <f>"06"</f>
        <v>06</v>
      </c>
      <c r="E1118" s="6">
        <v>78</v>
      </c>
      <c r="F1118" s="6">
        <v>98</v>
      </c>
      <c r="G1118" s="6">
        <v>58.6666666666667</v>
      </c>
      <c r="H1118" s="6" t="s">
        <v>9</v>
      </c>
    </row>
    <row r="1119" ht="20.1" customHeight="1" spans="1:8">
      <c r="A1119" s="5" t="str">
        <f t="shared" si="70"/>
        <v>221011</v>
      </c>
      <c r="B1119" s="5" t="str">
        <f>"2022113807"</f>
        <v>2022113807</v>
      </c>
      <c r="C1119" s="5" t="str">
        <f t="shared" si="71"/>
        <v>38</v>
      </c>
      <c r="D1119" s="5" t="str">
        <f>"07"</f>
        <v>07</v>
      </c>
      <c r="E1119" s="6">
        <v>123</v>
      </c>
      <c r="F1119" s="6">
        <v>105.6</v>
      </c>
      <c r="G1119" s="6">
        <v>76.2</v>
      </c>
      <c r="H1119" s="6" t="s">
        <v>9</v>
      </c>
    </row>
    <row r="1120" ht="20.1" customHeight="1" spans="1:8">
      <c r="A1120" s="5" t="str">
        <f t="shared" si="70"/>
        <v>221011</v>
      </c>
      <c r="B1120" s="5" t="str">
        <f>"2022113808"</f>
        <v>2022113808</v>
      </c>
      <c r="C1120" s="5" t="str">
        <f t="shared" si="71"/>
        <v>38</v>
      </c>
      <c r="D1120" s="5" t="str">
        <f>"08"</f>
        <v>08</v>
      </c>
      <c r="E1120" s="6">
        <v>121.5</v>
      </c>
      <c r="F1120" s="6">
        <v>112.8</v>
      </c>
      <c r="G1120" s="6">
        <v>78.1</v>
      </c>
      <c r="H1120" s="6" t="s">
        <v>9</v>
      </c>
    </row>
    <row r="1121" ht="20.1" customHeight="1" spans="1:8">
      <c r="A1121" s="5" t="str">
        <f t="shared" si="70"/>
        <v>221011</v>
      </c>
      <c r="B1121" s="5" t="str">
        <f>"2022113809"</f>
        <v>2022113809</v>
      </c>
      <c r="C1121" s="5" t="str">
        <f t="shared" si="71"/>
        <v>38</v>
      </c>
      <c r="D1121" s="5" t="str">
        <f>"09"</f>
        <v>09</v>
      </c>
      <c r="E1121" s="6">
        <v>0</v>
      </c>
      <c r="F1121" s="6">
        <v>0</v>
      </c>
      <c r="G1121" s="6">
        <v>0</v>
      </c>
      <c r="H1121" s="6" t="s">
        <v>10</v>
      </c>
    </row>
    <row r="1122" ht="20.1" customHeight="1" spans="1:8">
      <c r="A1122" s="5" t="str">
        <f t="shared" si="70"/>
        <v>221011</v>
      </c>
      <c r="B1122" s="5" t="str">
        <f>"2022113810"</f>
        <v>2022113810</v>
      </c>
      <c r="C1122" s="5" t="str">
        <f t="shared" si="71"/>
        <v>38</v>
      </c>
      <c r="D1122" s="5" t="str">
        <f>"10"</f>
        <v>10</v>
      </c>
      <c r="E1122" s="6">
        <v>108</v>
      </c>
      <c r="F1122" s="6">
        <v>99</v>
      </c>
      <c r="G1122" s="6">
        <v>69</v>
      </c>
      <c r="H1122" s="6" t="s">
        <v>9</v>
      </c>
    </row>
    <row r="1123" ht="20.1" customHeight="1" spans="1:8">
      <c r="A1123" s="5" t="str">
        <f t="shared" ref="A1123:A1159" si="72">"221011"</f>
        <v>221011</v>
      </c>
      <c r="B1123" s="5" t="str">
        <f>"2022113811"</f>
        <v>2022113811</v>
      </c>
      <c r="C1123" s="5" t="str">
        <f t="shared" si="71"/>
        <v>38</v>
      </c>
      <c r="D1123" s="5" t="str">
        <f>"11"</f>
        <v>11</v>
      </c>
      <c r="E1123" s="6">
        <v>100.5</v>
      </c>
      <c r="F1123" s="6">
        <v>34.9</v>
      </c>
      <c r="G1123" s="6">
        <v>45.1333333333333</v>
      </c>
      <c r="H1123" s="6" t="s">
        <v>9</v>
      </c>
    </row>
    <row r="1124" ht="20.1" customHeight="1" spans="1:8">
      <c r="A1124" s="5" t="str">
        <f t="shared" si="72"/>
        <v>221011</v>
      </c>
      <c r="B1124" s="5" t="str">
        <f>"2022113812"</f>
        <v>2022113812</v>
      </c>
      <c r="C1124" s="5" t="str">
        <f t="shared" si="71"/>
        <v>38</v>
      </c>
      <c r="D1124" s="5" t="str">
        <f>"12"</f>
        <v>12</v>
      </c>
      <c r="E1124" s="6">
        <v>0</v>
      </c>
      <c r="F1124" s="6">
        <v>0</v>
      </c>
      <c r="G1124" s="6">
        <v>0</v>
      </c>
      <c r="H1124" s="6" t="s">
        <v>10</v>
      </c>
    </row>
    <row r="1125" ht="20.1" customHeight="1" spans="1:8">
      <c r="A1125" s="5" t="str">
        <f t="shared" si="72"/>
        <v>221011</v>
      </c>
      <c r="B1125" s="5" t="str">
        <f>"2022113813"</f>
        <v>2022113813</v>
      </c>
      <c r="C1125" s="5" t="str">
        <f t="shared" si="71"/>
        <v>38</v>
      </c>
      <c r="D1125" s="5" t="str">
        <f>"13"</f>
        <v>13</v>
      </c>
      <c r="E1125" s="6">
        <v>105</v>
      </c>
      <c r="F1125" s="6">
        <v>68</v>
      </c>
      <c r="G1125" s="6">
        <v>57.6666666666667</v>
      </c>
      <c r="H1125" s="6" t="s">
        <v>9</v>
      </c>
    </row>
    <row r="1126" ht="20.1" customHeight="1" spans="1:8">
      <c r="A1126" s="5" t="str">
        <f t="shared" si="72"/>
        <v>221011</v>
      </c>
      <c r="B1126" s="5" t="str">
        <f>"2022113814"</f>
        <v>2022113814</v>
      </c>
      <c r="C1126" s="5" t="str">
        <f t="shared" si="71"/>
        <v>38</v>
      </c>
      <c r="D1126" s="5" t="str">
        <f>"14"</f>
        <v>14</v>
      </c>
      <c r="E1126" s="6">
        <v>114</v>
      </c>
      <c r="F1126" s="6">
        <v>103.8</v>
      </c>
      <c r="G1126" s="6">
        <v>72.6</v>
      </c>
      <c r="H1126" s="6" t="s">
        <v>9</v>
      </c>
    </row>
    <row r="1127" ht="20.1" customHeight="1" spans="1:8">
      <c r="A1127" s="5" t="str">
        <f t="shared" si="72"/>
        <v>221011</v>
      </c>
      <c r="B1127" s="5" t="str">
        <f>"2022113815"</f>
        <v>2022113815</v>
      </c>
      <c r="C1127" s="5" t="str">
        <f t="shared" si="71"/>
        <v>38</v>
      </c>
      <c r="D1127" s="5" t="str">
        <f>"15"</f>
        <v>15</v>
      </c>
      <c r="E1127" s="6">
        <v>114</v>
      </c>
      <c r="F1127" s="6">
        <v>109.7</v>
      </c>
      <c r="G1127" s="6">
        <v>74.5666666666667</v>
      </c>
      <c r="H1127" s="6" t="s">
        <v>9</v>
      </c>
    </row>
    <row r="1128" ht="20.1" customHeight="1" spans="1:8">
      <c r="A1128" s="5" t="str">
        <f t="shared" si="72"/>
        <v>221011</v>
      </c>
      <c r="B1128" s="5" t="str">
        <f>"2022113816"</f>
        <v>2022113816</v>
      </c>
      <c r="C1128" s="5" t="str">
        <f t="shared" si="71"/>
        <v>38</v>
      </c>
      <c r="D1128" s="5" t="str">
        <f>"16"</f>
        <v>16</v>
      </c>
      <c r="E1128" s="6">
        <v>108</v>
      </c>
      <c r="F1128" s="6">
        <v>86.6</v>
      </c>
      <c r="G1128" s="6">
        <v>64.8666666666667</v>
      </c>
      <c r="H1128" s="6" t="s">
        <v>9</v>
      </c>
    </row>
    <row r="1129" ht="20.1" customHeight="1" spans="1:8">
      <c r="A1129" s="5" t="str">
        <f t="shared" si="72"/>
        <v>221011</v>
      </c>
      <c r="B1129" s="5" t="str">
        <f>"2022113817"</f>
        <v>2022113817</v>
      </c>
      <c r="C1129" s="5" t="str">
        <f t="shared" si="71"/>
        <v>38</v>
      </c>
      <c r="D1129" s="5" t="str">
        <f>"17"</f>
        <v>17</v>
      </c>
      <c r="E1129" s="6">
        <v>105</v>
      </c>
      <c r="F1129" s="6">
        <v>109</v>
      </c>
      <c r="G1129" s="6">
        <v>71.3333333333333</v>
      </c>
      <c r="H1129" s="6" t="s">
        <v>9</v>
      </c>
    </row>
    <row r="1130" ht="20.1" customHeight="1" spans="1:8">
      <c r="A1130" s="5" t="str">
        <f t="shared" si="72"/>
        <v>221011</v>
      </c>
      <c r="B1130" s="5" t="str">
        <f>"2022113818"</f>
        <v>2022113818</v>
      </c>
      <c r="C1130" s="5" t="str">
        <f t="shared" si="71"/>
        <v>38</v>
      </c>
      <c r="D1130" s="5" t="str">
        <f>"18"</f>
        <v>18</v>
      </c>
      <c r="E1130" s="6">
        <v>112.5</v>
      </c>
      <c r="F1130" s="6">
        <v>103.6</v>
      </c>
      <c r="G1130" s="6">
        <v>72.0333333333333</v>
      </c>
      <c r="H1130" s="6" t="s">
        <v>9</v>
      </c>
    </row>
    <row r="1131" ht="20.1" customHeight="1" spans="1:8">
      <c r="A1131" s="5" t="str">
        <f t="shared" si="72"/>
        <v>221011</v>
      </c>
      <c r="B1131" s="5" t="str">
        <f>"2022113819"</f>
        <v>2022113819</v>
      </c>
      <c r="C1131" s="5" t="str">
        <f t="shared" si="71"/>
        <v>38</v>
      </c>
      <c r="D1131" s="5" t="str">
        <f>"19"</f>
        <v>19</v>
      </c>
      <c r="E1131" s="6">
        <v>106.5</v>
      </c>
      <c r="F1131" s="6">
        <v>93.1</v>
      </c>
      <c r="G1131" s="6">
        <v>66.5333333333333</v>
      </c>
      <c r="H1131" s="6" t="s">
        <v>9</v>
      </c>
    </row>
    <row r="1132" ht="20.1" customHeight="1" spans="1:8">
      <c r="A1132" s="5" t="str">
        <f t="shared" si="72"/>
        <v>221011</v>
      </c>
      <c r="B1132" s="5" t="str">
        <f>"2022113820"</f>
        <v>2022113820</v>
      </c>
      <c r="C1132" s="5" t="str">
        <f t="shared" si="71"/>
        <v>38</v>
      </c>
      <c r="D1132" s="5" t="str">
        <f>"20"</f>
        <v>20</v>
      </c>
      <c r="E1132" s="6">
        <v>0</v>
      </c>
      <c r="F1132" s="6">
        <v>0</v>
      </c>
      <c r="G1132" s="6">
        <v>0</v>
      </c>
      <c r="H1132" s="6" t="s">
        <v>10</v>
      </c>
    </row>
    <row r="1133" ht="20.1" customHeight="1" spans="1:8">
      <c r="A1133" s="5" t="str">
        <f t="shared" si="72"/>
        <v>221011</v>
      </c>
      <c r="B1133" s="5" t="str">
        <f>"2022113821"</f>
        <v>2022113821</v>
      </c>
      <c r="C1133" s="5" t="str">
        <f t="shared" si="71"/>
        <v>38</v>
      </c>
      <c r="D1133" s="5" t="str">
        <f>"21"</f>
        <v>21</v>
      </c>
      <c r="E1133" s="6">
        <v>88.5</v>
      </c>
      <c r="F1133" s="6">
        <v>83.8</v>
      </c>
      <c r="G1133" s="6">
        <v>57.4333333333333</v>
      </c>
      <c r="H1133" s="6" t="s">
        <v>9</v>
      </c>
    </row>
    <row r="1134" ht="20.1" customHeight="1" spans="1:8">
      <c r="A1134" s="5" t="str">
        <f t="shared" si="72"/>
        <v>221011</v>
      </c>
      <c r="B1134" s="5" t="str">
        <f>"2022113822"</f>
        <v>2022113822</v>
      </c>
      <c r="C1134" s="5" t="str">
        <f t="shared" si="71"/>
        <v>38</v>
      </c>
      <c r="D1134" s="5" t="str">
        <f>"22"</f>
        <v>22</v>
      </c>
      <c r="E1134" s="6">
        <v>120</v>
      </c>
      <c r="F1134" s="6">
        <v>101.5</v>
      </c>
      <c r="G1134" s="6">
        <v>73.8333333333333</v>
      </c>
      <c r="H1134" s="6" t="s">
        <v>9</v>
      </c>
    </row>
    <row r="1135" ht="20.1" customHeight="1" spans="1:8">
      <c r="A1135" s="5" t="str">
        <f t="shared" si="72"/>
        <v>221011</v>
      </c>
      <c r="B1135" s="5" t="str">
        <f>"2022113823"</f>
        <v>2022113823</v>
      </c>
      <c r="C1135" s="5" t="str">
        <f t="shared" si="71"/>
        <v>38</v>
      </c>
      <c r="D1135" s="5" t="str">
        <f>"23"</f>
        <v>23</v>
      </c>
      <c r="E1135" s="6">
        <v>0</v>
      </c>
      <c r="F1135" s="6">
        <v>0</v>
      </c>
      <c r="G1135" s="6">
        <v>0</v>
      </c>
      <c r="H1135" s="6" t="s">
        <v>10</v>
      </c>
    </row>
    <row r="1136" ht="20.1" customHeight="1" spans="1:8">
      <c r="A1136" s="5" t="str">
        <f t="shared" si="72"/>
        <v>221011</v>
      </c>
      <c r="B1136" s="5" t="str">
        <f>"2022113824"</f>
        <v>2022113824</v>
      </c>
      <c r="C1136" s="5" t="str">
        <f t="shared" si="71"/>
        <v>38</v>
      </c>
      <c r="D1136" s="5" t="str">
        <f>"24"</f>
        <v>24</v>
      </c>
      <c r="E1136" s="6">
        <v>88.5</v>
      </c>
      <c r="F1136" s="6">
        <v>85.7</v>
      </c>
      <c r="G1136" s="6">
        <v>58.0666666666667</v>
      </c>
      <c r="H1136" s="6" t="s">
        <v>9</v>
      </c>
    </row>
    <row r="1137" ht="20.1" customHeight="1" spans="1:8">
      <c r="A1137" s="5" t="str">
        <f t="shared" si="72"/>
        <v>221011</v>
      </c>
      <c r="B1137" s="5" t="str">
        <f>"2022113825"</f>
        <v>2022113825</v>
      </c>
      <c r="C1137" s="5" t="str">
        <f t="shared" si="71"/>
        <v>38</v>
      </c>
      <c r="D1137" s="5" t="str">
        <f>"25"</f>
        <v>25</v>
      </c>
      <c r="E1137" s="6">
        <v>88.5</v>
      </c>
      <c r="F1137" s="6">
        <v>109.9</v>
      </c>
      <c r="G1137" s="6">
        <v>66.1333333333333</v>
      </c>
      <c r="H1137" s="6" t="s">
        <v>9</v>
      </c>
    </row>
    <row r="1138" ht="20.1" customHeight="1" spans="1:8">
      <c r="A1138" s="5" t="str">
        <f t="shared" si="72"/>
        <v>221011</v>
      </c>
      <c r="B1138" s="5" t="str">
        <f>"2022113826"</f>
        <v>2022113826</v>
      </c>
      <c r="C1138" s="5" t="str">
        <f t="shared" si="71"/>
        <v>38</v>
      </c>
      <c r="D1138" s="5" t="str">
        <f>"26"</f>
        <v>26</v>
      </c>
      <c r="E1138" s="6">
        <v>112.5</v>
      </c>
      <c r="F1138" s="6">
        <v>110.6</v>
      </c>
      <c r="G1138" s="6">
        <v>74.3666666666667</v>
      </c>
      <c r="H1138" s="6" t="s">
        <v>9</v>
      </c>
    </row>
    <row r="1139" ht="20.1" customHeight="1" spans="1:8">
      <c r="A1139" s="5" t="str">
        <f t="shared" si="72"/>
        <v>221011</v>
      </c>
      <c r="B1139" s="5" t="str">
        <f>"2022113827"</f>
        <v>2022113827</v>
      </c>
      <c r="C1139" s="5" t="str">
        <f t="shared" si="71"/>
        <v>38</v>
      </c>
      <c r="D1139" s="5" t="str">
        <f>"27"</f>
        <v>27</v>
      </c>
      <c r="E1139" s="6">
        <v>123</v>
      </c>
      <c r="F1139" s="6">
        <v>104.8</v>
      </c>
      <c r="G1139" s="6">
        <v>75.9333333333333</v>
      </c>
      <c r="H1139" s="6" t="s">
        <v>9</v>
      </c>
    </row>
    <row r="1140" ht="20.1" customHeight="1" spans="1:8">
      <c r="A1140" s="5" t="str">
        <f t="shared" si="72"/>
        <v>221011</v>
      </c>
      <c r="B1140" s="5" t="str">
        <f>"2022113828"</f>
        <v>2022113828</v>
      </c>
      <c r="C1140" s="5" t="str">
        <f t="shared" si="71"/>
        <v>38</v>
      </c>
      <c r="D1140" s="5" t="str">
        <f>"28"</f>
        <v>28</v>
      </c>
      <c r="E1140" s="6">
        <v>123</v>
      </c>
      <c r="F1140" s="6">
        <v>116.1</v>
      </c>
      <c r="G1140" s="6">
        <v>79.7</v>
      </c>
      <c r="H1140" s="6" t="s">
        <v>9</v>
      </c>
    </row>
    <row r="1141" ht="20.1" customHeight="1" spans="1:8">
      <c r="A1141" s="5" t="str">
        <f t="shared" si="72"/>
        <v>221011</v>
      </c>
      <c r="B1141" s="5" t="str">
        <f>"2022113829"</f>
        <v>2022113829</v>
      </c>
      <c r="C1141" s="5" t="str">
        <f t="shared" si="71"/>
        <v>38</v>
      </c>
      <c r="D1141" s="5" t="str">
        <f>"29"</f>
        <v>29</v>
      </c>
      <c r="E1141" s="6">
        <v>90</v>
      </c>
      <c r="F1141" s="6">
        <v>98.7</v>
      </c>
      <c r="G1141" s="6">
        <v>62.9</v>
      </c>
      <c r="H1141" s="6" t="s">
        <v>9</v>
      </c>
    </row>
    <row r="1142" ht="20.1" customHeight="1" spans="1:8">
      <c r="A1142" s="5" t="str">
        <f t="shared" si="72"/>
        <v>221011</v>
      </c>
      <c r="B1142" s="5" t="str">
        <f>"2022113830"</f>
        <v>2022113830</v>
      </c>
      <c r="C1142" s="5" t="str">
        <f t="shared" si="71"/>
        <v>38</v>
      </c>
      <c r="D1142" s="5" t="str">
        <f>"30"</f>
        <v>30</v>
      </c>
      <c r="E1142" s="6">
        <v>0</v>
      </c>
      <c r="F1142" s="6">
        <v>0</v>
      </c>
      <c r="G1142" s="6">
        <v>0</v>
      </c>
      <c r="H1142" s="6" t="s">
        <v>10</v>
      </c>
    </row>
    <row r="1143" ht="20.1" customHeight="1" spans="1:8">
      <c r="A1143" s="5" t="str">
        <f t="shared" si="72"/>
        <v>221011</v>
      </c>
      <c r="B1143" s="5" t="str">
        <f>"2022113901"</f>
        <v>2022113901</v>
      </c>
      <c r="C1143" s="5" t="str">
        <f t="shared" ref="C1143:C1172" si="73">"39"</f>
        <v>39</v>
      </c>
      <c r="D1143" s="5" t="str">
        <f>"01"</f>
        <v>01</v>
      </c>
      <c r="E1143" s="6">
        <v>0</v>
      </c>
      <c r="F1143" s="6">
        <v>0</v>
      </c>
      <c r="G1143" s="6">
        <v>0</v>
      </c>
      <c r="H1143" s="6" t="s">
        <v>10</v>
      </c>
    </row>
    <row r="1144" ht="20.1" customHeight="1" spans="1:8">
      <c r="A1144" s="5" t="str">
        <f t="shared" si="72"/>
        <v>221011</v>
      </c>
      <c r="B1144" s="5" t="str">
        <f>"2022113902"</f>
        <v>2022113902</v>
      </c>
      <c r="C1144" s="5" t="str">
        <f t="shared" si="73"/>
        <v>39</v>
      </c>
      <c r="D1144" s="5" t="str">
        <f>"02"</f>
        <v>02</v>
      </c>
      <c r="E1144" s="6">
        <v>94.5</v>
      </c>
      <c r="F1144" s="6">
        <v>104.8</v>
      </c>
      <c r="G1144" s="6">
        <v>66.4333333333333</v>
      </c>
      <c r="H1144" s="6" t="s">
        <v>9</v>
      </c>
    </row>
    <row r="1145" ht="20.1" customHeight="1" spans="1:8">
      <c r="A1145" s="5" t="str">
        <f t="shared" si="72"/>
        <v>221011</v>
      </c>
      <c r="B1145" s="5" t="str">
        <f>"2022113903"</f>
        <v>2022113903</v>
      </c>
      <c r="C1145" s="5" t="str">
        <f t="shared" si="73"/>
        <v>39</v>
      </c>
      <c r="D1145" s="5" t="str">
        <f>"03"</f>
        <v>03</v>
      </c>
      <c r="E1145" s="6">
        <v>84</v>
      </c>
      <c r="F1145" s="6">
        <v>105.7</v>
      </c>
      <c r="G1145" s="6">
        <v>63.2333333333333</v>
      </c>
      <c r="H1145" s="6" t="s">
        <v>9</v>
      </c>
    </row>
    <row r="1146" ht="20.1" customHeight="1" spans="1:8">
      <c r="A1146" s="5" t="str">
        <f t="shared" si="72"/>
        <v>221011</v>
      </c>
      <c r="B1146" s="5" t="str">
        <f>"2022113904"</f>
        <v>2022113904</v>
      </c>
      <c r="C1146" s="5" t="str">
        <f t="shared" si="73"/>
        <v>39</v>
      </c>
      <c r="D1146" s="5" t="str">
        <f>"04"</f>
        <v>04</v>
      </c>
      <c r="E1146" s="6">
        <v>126</v>
      </c>
      <c r="F1146" s="6">
        <v>108.9</v>
      </c>
      <c r="G1146" s="6">
        <v>78.3</v>
      </c>
      <c r="H1146" s="6" t="s">
        <v>9</v>
      </c>
    </row>
    <row r="1147" ht="20.1" customHeight="1" spans="1:8">
      <c r="A1147" s="5" t="str">
        <f t="shared" si="72"/>
        <v>221011</v>
      </c>
      <c r="B1147" s="5" t="str">
        <f>"2022113905"</f>
        <v>2022113905</v>
      </c>
      <c r="C1147" s="5" t="str">
        <f t="shared" si="73"/>
        <v>39</v>
      </c>
      <c r="D1147" s="5" t="str">
        <f>"05"</f>
        <v>05</v>
      </c>
      <c r="E1147" s="6">
        <v>0</v>
      </c>
      <c r="F1147" s="6">
        <v>0</v>
      </c>
      <c r="G1147" s="6">
        <v>0</v>
      </c>
      <c r="H1147" s="6" t="s">
        <v>10</v>
      </c>
    </row>
    <row r="1148" ht="20.1" customHeight="1" spans="1:8">
      <c r="A1148" s="5" t="str">
        <f t="shared" si="72"/>
        <v>221011</v>
      </c>
      <c r="B1148" s="5" t="str">
        <f>"2022113906"</f>
        <v>2022113906</v>
      </c>
      <c r="C1148" s="5" t="str">
        <f t="shared" si="73"/>
        <v>39</v>
      </c>
      <c r="D1148" s="5" t="str">
        <f>"06"</f>
        <v>06</v>
      </c>
      <c r="E1148" s="6">
        <v>121.5</v>
      </c>
      <c r="F1148" s="6">
        <v>107.4</v>
      </c>
      <c r="G1148" s="6">
        <v>76.3</v>
      </c>
      <c r="H1148" s="6" t="s">
        <v>9</v>
      </c>
    </row>
    <row r="1149" ht="20.1" customHeight="1" spans="1:8">
      <c r="A1149" s="5" t="str">
        <f t="shared" si="72"/>
        <v>221011</v>
      </c>
      <c r="B1149" s="5" t="str">
        <f>"2022113907"</f>
        <v>2022113907</v>
      </c>
      <c r="C1149" s="5" t="str">
        <f t="shared" si="73"/>
        <v>39</v>
      </c>
      <c r="D1149" s="5" t="str">
        <f>"07"</f>
        <v>07</v>
      </c>
      <c r="E1149" s="6">
        <v>0</v>
      </c>
      <c r="F1149" s="6">
        <v>0</v>
      </c>
      <c r="G1149" s="6">
        <v>0</v>
      </c>
      <c r="H1149" s="6" t="s">
        <v>10</v>
      </c>
    </row>
    <row r="1150" ht="20.1" customHeight="1" spans="1:8">
      <c r="A1150" s="5" t="str">
        <f t="shared" si="72"/>
        <v>221011</v>
      </c>
      <c r="B1150" s="5" t="str">
        <f>"2022113908"</f>
        <v>2022113908</v>
      </c>
      <c r="C1150" s="5" t="str">
        <f t="shared" si="73"/>
        <v>39</v>
      </c>
      <c r="D1150" s="5" t="str">
        <f>"08"</f>
        <v>08</v>
      </c>
      <c r="E1150" s="6">
        <v>0</v>
      </c>
      <c r="F1150" s="6">
        <v>0</v>
      </c>
      <c r="G1150" s="6">
        <v>0</v>
      </c>
      <c r="H1150" s="6" t="s">
        <v>10</v>
      </c>
    </row>
    <row r="1151" ht="20.1" customHeight="1" spans="1:8">
      <c r="A1151" s="5" t="str">
        <f t="shared" si="72"/>
        <v>221011</v>
      </c>
      <c r="B1151" s="5" t="str">
        <f>"2022113909"</f>
        <v>2022113909</v>
      </c>
      <c r="C1151" s="5" t="str">
        <f t="shared" si="73"/>
        <v>39</v>
      </c>
      <c r="D1151" s="5" t="str">
        <f>"09"</f>
        <v>09</v>
      </c>
      <c r="E1151" s="6">
        <v>0</v>
      </c>
      <c r="F1151" s="6">
        <v>0</v>
      </c>
      <c r="G1151" s="6">
        <v>0</v>
      </c>
      <c r="H1151" s="6" t="s">
        <v>10</v>
      </c>
    </row>
    <row r="1152" ht="20.1" customHeight="1" spans="1:8">
      <c r="A1152" s="5" t="str">
        <f t="shared" si="72"/>
        <v>221011</v>
      </c>
      <c r="B1152" s="5" t="str">
        <f>"2022113910"</f>
        <v>2022113910</v>
      </c>
      <c r="C1152" s="5" t="str">
        <f t="shared" si="73"/>
        <v>39</v>
      </c>
      <c r="D1152" s="5" t="str">
        <f>"10"</f>
        <v>10</v>
      </c>
      <c r="E1152" s="6">
        <v>99</v>
      </c>
      <c r="F1152" s="6">
        <v>105.4</v>
      </c>
      <c r="G1152" s="6">
        <v>68.1333333333333</v>
      </c>
      <c r="H1152" s="6" t="s">
        <v>9</v>
      </c>
    </row>
    <row r="1153" ht="20.1" customHeight="1" spans="1:8">
      <c r="A1153" s="5" t="str">
        <f t="shared" si="72"/>
        <v>221011</v>
      </c>
      <c r="B1153" s="5" t="str">
        <f>"2022113911"</f>
        <v>2022113911</v>
      </c>
      <c r="C1153" s="5" t="str">
        <f t="shared" si="73"/>
        <v>39</v>
      </c>
      <c r="D1153" s="5" t="str">
        <f>"11"</f>
        <v>11</v>
      </c>
      <c r="E1153" s="6">
        <v>87</v>
      </c>
      <c r="F1153" s="6">
        <v>102.7</v>
      </c>
      <c r="G1153" s="6">
        <v>63.2333333333333</v>
      </c>
      <c r="H1153" s="6" t="s">
        <v>9</v>
      </c>
    </row>
    <row r="1154" ht="20.1" customHeight="1" spans="1:8">
      <c r="A1154" s="5" t="str">
        <f t="shared" si="72"/>
        <v>221011</v>
      </c>
      <c r="B1154" s="5" t="str">
        <f>"2022113912"</f>
        <v>2022113912</v>
      </c>
      <c r="C1154" s="5" t="str">
        <f t="shared" si="73"/>
        <v>39</v>
      </c>
      <c r="D1154" s="5" t="str">
        <f>"12"</f>
        <v>12</v>
      </c>
      <c r="E1154" s="6">
        <v>0</v>
      </c>
      <c r="F1154" s="6">
        <v>0</v>
      </c>
      <c r="G1154" s="6">
        <v>0</v>
      </c>
      <c r="H1154" s="6" t="s">
        <v>10</v>
      </c>
    </row>
    <row r="1155" ht="20.1" customHeight="1" spans="1:8">
      <c r="A1155" s="5" t="str">
        <f t="shared" si="72"/>
        <v>221011</v>
      </c>
      <c r="B1155" s="5" t="str">
        <f>"2022113913"</f>
        <v>2022113913</v>
      </c>
      <c r="C1155" s="5" t="str">
        <f t="shared" si="73"/>
        <v>39</v>
      </c>
      <c r="D1155" s="5" t="str">
        <f>"13"</f>
        <v>13</v>
      </c>
      <c r="E1155" s="6">
        <v>88.5</v>
      </c>
      <c r="F1155" s="6">
        <v>107</v>
      </c>
      <c r="G1155" s="6">
        <v>65.1666666666667</v>
      </c>
      <c r="H1155" s="6" t="s">
        <v>9</v>
      </c>
    </row>
    <row r="1156" ht="20.1" customHeight="1" spans="1:8">
      <c r="A1156" s="5" t="str">
        <f t="shared" si="72"/>
        <v>221011</v>
      </c>
      <c r="B1156" s="5" t="str">
        <f>"2022113914"</f>
        <v>2022113914</v>
      </c>
      <c r="C1156" s="5" t="str">
        <f t="shared" si="73"/>
        <v>39</v>
      </c>
      <c r="D1156" s="5" t="str">
        <f>"14"</f>
        <v>14</v>
      </c>
      <c r="E1156" s="6">
        <v>0</v>
      </c>
      <c r="F1156" s="6">
        <v>0</v>
      </c>
      <c r="G1156" s="6">
        <v>0</v>
      </c>
      <c r="H1156" s="6" t="s">
        <v>10</v>
      </c>
    </row>
    <row r="1157" ht="20.1" customHeight="1" spans="1:8">
      <c r="A1157" s="5" t="str">
        <f t="shared" si="72"/>
        <v>221011</v>
      </c>
      <c r="B1157" s="5" t="str">
        <f>"2022113915"</f>
        <v>2022113915</v>
      </c>
      <c r="C1157" s="5" t="str">
        <f t="shared" si="73"/>
        <v>39</v>
      </c>
      <c r="D1157" s="5" t="str">
        <f>"15"</f>
        <v>15</v>
      </c>
      <c r="E1157" s="6">
        <v>0</v>
      </c>
      <c r="F1157" s="6">
        <v>0</v>
      </c>
      <c r="G1157" s="6">
        <v>0</v>
      </c>
      <c r="H1157" s="6" t="s">
        <v>10</v>
      </c>
    </row>
    <row r="1158" ht="20.1" customHeight="1" spans="1:8">
      <c r="A1158" s="5" t="str">
        <f t="shared" si="72"/>
        <v>221011</v>
      </c>
      <c r="B1158" s="5" t="str">
        <f>"2022113916"</f>
        <v>2022113916</v>
      </c>
      <c r="C1158" s="5" t="str">
        <f t="shared" si="73"/>
        <v>39</v>
      </c>
      <c r="D1158" s="5" t="str">
        <f>"16"</f>
        <v>16</v>
      </c>
      <c r="E1158" s="6">
        <v>0</v>
      </c>
      <c r="F1158" s="6">
        <v>0</v>
      </c>
      <c r="G1158" s="6">
        <v>0</v>
      </c>
      <c r="H1158" s="6" t="s">
        <v>10</v>
      </c>
    </row>
    <row r="1159" ht="20.1" customHeight="1" spans="1:8">
      <c r="A1159" s="5" t="str">
        <f t="shared" si="72"/>
        <v>221011</v>
      </c>
      <c r="B1159" s="5" t="str">
        <f>"2022113917"</f>
        <v>2022113917</v>
      </c>
      <c r="C1159" s="5" t="str">
        <f t="shared" si="73"/>
        <v>39</v>
      </c>
      <c r="D1159" s="5" t="str">
        <f>"17"</f>
        <v>17</v>
      </c>
      <c r="E1159" s="6">
        <v>0</v>
      </c>
      <c r="F1159" s="6">
        <v>0</v>
      </c>
      <c r="G1159" s="6">
        <v>0</v>
      </c>
      <c r="H1159" s="6" t="s">
        <v>10</v>
      </c>
    </row>
    <row r="1160" ht="20.1" customHeight="1" spans="1:8">
      <c r="A1160" s="5" t="str">
        <f t="shared" ref="A1160:A1191" si="74">"221012"</f>
        <v>221012</v>
      </c>
      <c r="B1160" s="5" t="str">
        <f>"2022113918"</f>
        <v>2022113918</v>
      </c>
      <c r="C1160" s="5" t="str">
        <f t="shared" si="73"/>
        <v>39</v>
      </c>
      <c r="D1160" s="5" t="str">
        <f>"18"</f>
        <v>18</v>
      </c>
      <c r="E1160" s="6">
        <v>0</v>
      </c>
      <c r="F1160" s="6">
        <v>0</v>
      </c>
      <c r="G1160" s="6">
        <v>0</v>
      </c>
      <c r="H1160" s="6" t="s">
        <v>10</v>
      </c>
    </row>
    <row r="1161" ht="20.1" customHeight="1" spans="1:8">
      <c r="A1161" s="5" t="str">
        <f t="shared" si="74"/>
        <v>221012</v>
      </c>
      <c r="B1161" s="5" t="str">
        <f>"2022113919"</f>
        <v>2022113919</v>
      </c>
      <c r="C1161" s="5" t="str">
        <f t="shared" si="73"/>
        <v>39</v>
      </c>
      <c r="D1161" s="5" t="str">
        <f>"19"</f>
        <v>19</v>
      </c>
      <c r="E1161" s="6">
        <v>121.5</v>
      </c>
      <c r="F1161" s="6">
        <v>108.5</v>
      </c>
      <c r="G1161" s="6">
        <v>76.6666666666667</v>
      </c>
      <c r="H1161" s="6" t="s">
        <v>9</v>
      </c>
    </row>
    <row r="1162" ht="20.1" customHeight="1" spans="1:8">
      <c r="A1162" s="5" t="str">
        <f t="shared" si="74"/>
        <v>221012</v>
      </c>
      <c r="B1162" s="5" t="str">
        <f>"2022113920"</f>
        <v>2022113920</v>
      </c>
      <c r="C1162" s="5" t="str">
        <f t="shared" si="73"/>
        <v>39</v>
      </c>
      <c r="D1162" s="5" t="str">
        <f>"20"</f>
        <v>20</v>
      </c>
      <c r="E1162" s="6">
        <v>103.5</v>
      </c>
      <c r="F1162" s="6">
        <v>116.2</v>
      </c>
      <c r="G1162" s="6">
        <v>73.2333333333333</v>
      </c>
      <c r="H1162" s="6" t="s">
        <v>9</v>
      </c>
    </row>
    <row r="1163" ht="20.1" customHeight="1" spans="1:8">
      <c r="A1163" s="5" t="str">
        <f t="shared" si="74"/>
        <v>221012</v>
      </c>
      <c r="B1163" s="5" t="str">
        <f>"2022113921"</f>
        <v>2022113921</v>
      </c>
      <c r="C1163" s="5" t="str">
        <f t="shared" si="73"/>
        <v>39</v>
      </c>
      <c r="D1163" s="5" t="str">
        <f>"21"</f>
        <v>21</v>
      </c>
      <c r="E1163" s="6">
        <v>0</v>
      </c>
      <c r="F1163" s="6">
        <v>0</v>
      </c>
      <c r="G1163" s="6">
        <v>0</v>
      </c>
      <c r="H1163" s="6" t="s">
        <v>10</v>
      </c>
    </row>
    <row r="1164" ht="20.1" customHeight="1" spans="1:8">
      <c r="A1164" s="5" t="str">
        <f t="shared" si="74"/>
        <v>221012</v>
      </c>
      <c r="B1164" s="5" t="str">
        <f>"2022113922"</f>
        <v>2022113922</v>
      </c>
      <c r="C1164" s="5" t="str">
        <f t="shared" si="73"/>
        <v>39</v>
      </c>
      <c r="D1164" s="5" t="str">
        <f>"22"</f>
        <v>22</v>
      </c>
      <c r="E1164" s="6">
        <v>0</v>
      </c>
      <c r="F1164" s="6">
        <v>0</v>
      </c>
      <c r="G1164" s="6">
        <v>0</v>
      </c>
      <c r="H1164" s="6" t="s">
        <v>10</v>
      </c>
    </row>
    <row r="1165" ht="20.1" customHeight="1" spans="1:8">
      <c r="A1165" s="5" t="str">
        <f t="shared" si="74"/>
        <v>221012</v>
      </c>
      <c r="B1165" s="5" t="str">
        <f>"2022113923"</f>
        <v>2022113923</v>
      </c>
      <c r="C1165" s="5" t="str">
        <f t="shared" si="73"/>
        <v>39</v>
      </c>
      <c r="D1165" s="5" t="str">
        <f>"23"</f>
        <v>23</v>
      </c>
      <c r="E1165" s="6">
        <v>121.5</v>
      </c>
      <c r="F1165" s="6">
        <v>112.8</v>
      </c>
      <c r="G1165" s="6">
        <v>78.1</v>
      </c>
      <c r="H1165" s="7" t="s">
        <v>11</v>
      </c>
    </row>
    <row r="1166" ht="20.1" customHeight="1" spans="1:8">
      <c r="A1166" s="5" t="str">
        <f t="shared" si="74"/>
        <v>221012</v>
      </c>
      <c r="B1166" s="5" t="str">
        <f>"2022113924"</f>
        <v>2022113924</v>
      </c>
      <c r="C1166" s="5" t="str">
        <f t="shared" si="73"/>
        <v>39</v>
      </c>
      <c r="D1166" s="5" t="str">
        <f>"24"</f>
        <v>24</v>
      </c>
      <c r="E1166" s="6">
        <v>118.5</v>
      </c>
      <c r="F1166" s="6">
        <v>110.7</v>
      </c>
      <c r="G1166" s="6">
        <v>76.4</v>
      </c>
      <c r="H1166" s="6" t="s">
        <v>9</v>
      </c>
    </row>
    <row r="1167" ht="20.1" customHeight="1" spans="1:8">
      <c r="A1167" s="5" t="str">
        <f t="shared" si="74"/>
        <v>221012</v>
      </c>
      <c r="B1167" s="5" t="str">
        <f>"2022113925"</f>
        <v>2022113925</v>
      </c>
      <c r="C1167" s="5" t="str">
        <f t="shared" si="73"/>
        <v>39</v>
      </c>
      <c r="D1167" s="5" t="str">
        <f>"25"</f>
        <v>25</v>
      </c>
      <c r="E1167" s="6">
        <v>117</v>
      </c>
      <c r="F1167" s="6">
        <v>99.3</v>
      </c>
      <c r="G1167" s="6">
        <v>72.1</v>
      </c>
      <c r="H1167" s="6" t="s">
        <v>9</v>
      </c>
    </row>
    <row r="1168" ht="20.1" customHeight="1" spans="1:8">
      <c r="A1168" s="5" t="str">
        <f t="shared" si="74"/>
        <v>221012</v>
      </c>
      <c r="B1168" s="5" t="str">
        <f>"2022113926"</f>
        <v>2022113926</v>
      </c>
      <c r="C1168" s="5" t="str">
        <f t="shared" si="73"/>
        <v>39</v>
      </c>
      <c r="D1168" s="5" t="str">
        <f>"26"</f>
        <v>26</v>
      </c>
      <c r="E1168" s="6">
        <v>0</v>
      </c>
      <c r="F1168" s="6">
        <v>0</v>
      </c>
      <c r="G1168" s="6">
        <v>0</v>
      </c>
      <c r="H1168" s="6" t="s">
        <v>10</v>
      </c>
    </row>
    <row r="1169" ht="20.1" customHeight="1" spans="1:8">
      <c r="A1169" s="5" t="str">
        <f t="shared" si="74"/>
        <v>221012</v>
      </c>
      <c r="B1169" s="5" t="str">
        <f>"2022113927"</f>
        <v>2022113927</v>
      </c>
      <c r="C1169" s="5" t="str">
        <f t="shared" si="73"/>
        <v>39</v>
      </c>
      <c r="D1169" s="5" t="str">
        <f>"27"</f>
        <v>27</v>
      </c>
      <c r="E1169" s="6">
        <v>106.5</v>
      </c>
      <c r="F1169" s="6">
        <v>97</v>
      </c>
      <c r="G1169" s="6">
        <v>67.8333333333333</v>
      </c>
      <c r="H1169" s="6" t="s">
        <v>9</v>
      </c>
    </row>
    <row r="1170" ht="20.1" customHeight="1" spans="1:8">
      <c r="A1170" s="5" t="str">
        <f t="shared" si="74"/>
        <v>221012</v>
      </c>
      <c r="B1170" s="5" t="str">
        <f>"2022113928"</f>
        <v>2022113928</v>
      </c>
      <c r="C1170" s="5" t="str">
        <f t="shared" si="73"/>
        <v>39</v>
      </c>
      <c r="D1170" s="5" t="str">
        <f>"28"</f>
        <v>28</v>
      </c>
      <c r="E1170" s="6">
        <v>0</v>
      </c>
      <c r="F1170" s="6">
        <v>0</v>
      </c>
      <c r="G1170" s="6">
        <v>0</v>
      </c>
      <c r="H1170" s="6" t="s">
        <v>10</v>
      </c>
    </row>
    <row r="1171" ht="20.1" customHeight="1" spans="1:8">
      <c r="A1171" s="5" t="str">
        <f t="shared" si="74"/>
        <v>221012</v>
      </c>
      <c r="B1171" s="5" t="str">
        <f>"2022113929"</f>
        <v>2022113929</v>
      </c>
      <c r="C1171" s="5" t="str">
        <f t="shared" si="73"/>
        <v>39</v>
      </c>
      <c r="D1171" s="5" t="str">
        <f>"29"</f>
        <v>29</v>
      </c>
      <c r="E1171" s="6">
        <v>0</v>
      </c>
      <c r="F1171" s="6">
        <v>0</v>
      </c>
      <c r="G1171" s="6">
        <v>0</v>
      </c>
      <c r="H1171" s="6" t="s">
        <v>10</v>
      </c>
    </row>
    <row r="1172" ht="20.1" customHeight="1" spans="1:8">
      <c r="A1172" s="5" t="str">
        <f t="shared" si="74"/>
        <v>221012</v>
      </c>
      <c r="B1172" s="5" t="str">
        <f>"2022113930"</f>
        <v>2022113930</v>
      </c>
      <c r="C1172" s="5" t="str">
        <f t="shared" si="73"/>
        <v>39</v>
      </c>
      <c r="D1172" s="5" t="str">
        <f>"30"</f>
        <v>30</v>
      </c>
      <c r="E1172" s="6">
        <v>0</v>
      </c>
      <c r="F1172" s="6">
        <v>0</v>
      </c>
      <c r="G1172" s="6">
        <v>0</v>
      </c>
      <c r="H1172" s="6" t="s">
        <v>10</v>
      </c>
    </row>
    <row r="1173" ht="20.1" customHeight="1" spans="1:8">
      <c r="A1173" s="5" t="str">
        <f t="shared" si="74"/>
        <v>221012</v>
      </c>
      <c r="B1173" s="5" t="str">
        <f>"2022114001"</f>
        <v>2022114001</v>
      </c>
      <c r="C1173" s="5" t="str">
        <f t="shared" ref="C1173:C1202" si="75">"40"</f>
        <v>40</v>
      </c>
      <c r="D1173" s="5" t="str">
        <f>"01"</f>
        <v>01</v>
      </c>
      <c r="E1173" s="6">
        <v>118.5</v>
      </c>
      <c r="F1173" s="6">
        <v>109.6</v>
      </c>
      <c r="G1173" s="6">
        <v>76.0333333333333</v>
      </c>
      <c r="H1173" s="6" t="s">
        <v>9</v>
      </c>
    </row>
    <row r="1174" ht="20.1" customHeight="1" spans="1:8">
      <c r="A1174" s="5" t="str">
        <f t="shared" si="74"/>
        <v>221012</v>
      </c>
      <c r="B1174" s="5" t="str">
        <f>"2022114002"</f>
        <v>2022114002</v>
      </c>
      <c r="C1174" s="5" t="str">
        <f t="shared" si="75"/>
        <v>40</v>
      </c>
      <c r="D1174" s="5" t="str">
        <f>"02"</f>
        <v>02</v>
      </c>
      <c r="E1174" s="6">
        <v>0</v>
      </c>
      <c r="F1174" s="6">
        <v>0</v>
      </c>
      <c r="G1174" s="6">
        <v>0</v>
      </c>
      <c r="H1174" s="6" t="s">
        <v>10</v>
      </c>
    </row>
    <row r="1175" ht="20.1" customHeight="1" spans="1:8">
      <c r="A1175" s="5" t="str">
        <f t="shared" si="74"/>
        <v>221012</v>
      </c>
      <c r="B1175" s="5" t="str">
        <f>"2022114003"</f>
        <v>2022114003</v>
      </c>
      <c r="C1175" s="5" t="str">
        <f t="shared" si="75"/>
        <v>40</v>
      </c>
      <c r="D1175" s="5" t="str">
        <f>"03"</f>
        <v>03</v>
      </c>
      <c r="E1175" s="6">
        <v>0</v>
      </c>
      <c r="F1175" s="6">
        <v>0</v>
      </c>
      <c r="G1175" s="6">
        <v>0</v>
      </c>
      <c r="H1175" s="6" t="s">
        <v>10</v>
      </c>
    </row>
    <row r="1176" ht="20.1" customHeight="1" spans="1:8">
      <c r="A1176" s="5" t="str">
        <f t="shared" si="74"/>
        <v>221012</v>
      </c>
      <c r="B1176" s="5" t="str">
        <f>"2022114004"</f>
        <v>2022114004</v>
      </c>
      <c r="C1176" s="5" t="str">
        <f t="shared" si="75"/>
        <v>40</v>
      </c>
      <c r="D1176" s="5" t="str">
        <f>"04"</f>
        <v>04</v>
      </c>
      <c r="E1176" s="6">
        <v>0</v>
      </c>
      <c r="F1176" s="6">
        <v>0</v>
      </c>
      <c r="G1176" s="6">
        <v>0</v>
      </c>
      <c r="H1176" s="6" t="s">
        <v>10</v>
      </c>
    </row>
    <row r="1177" ht="20.1" customHeight="1" spans="1:8">
      <c r="A1177" s="5" t="str">
        <f t="shared" si="74"/>
        <v>221012</v>
      </c>
      <c r="B1177" s="5" t="str">
        <f>"2022114005"</f>
        <v>2022114005</v>
      </c>
      <c r="C1177" s="5" t="str">
        <f t="shared" si="75"/>
        <v>40</v>
      </c>
      <c r="D1177" s="5" t="str">
        <f>"05"</f>
        <v>05</v>
      </c>
      <c r="E1177" s="6">
        <v>102</v>
      </c>
      <c r="F1177" s="6">
        <v>112.7</v>
      </c>
      <c r="G1177" s="6">
        <v>71.5666666666667</v>
      </c>
      <c r="H1177" s="6" t="s">
        <v>9</v>
      </c>
    </row>
    <row r="1178" ht="20.1" customHeight="1" spans="1:8">
      <c r="A1178" s="5" t="str">
        <f t="shared" si="74"/>
        <v>221012</v>
      </c>
      <c r="B1178" s="5" t="str">
        <f>"2022114006"</f>
        <v>2022114006</v>
      </c>
      <c r="C1178" s="5" t="str">
        <f t="shared" si="75"/>
        <v>40</v>
      </c>
      <c r="D1178" s="5" t="str">
        <f>"06"</f>
        <v>06</v>
      </c>
      <c r="E1178" s="6">
        <v>0</v>
      </c>
      <c r="F1178" s="6">
        <v>0</v>
      </c>
      <c r="G1178" s="6">
        <v>0</v>
      </c>
      <c r="H1178" s="6" t="s">
        <v>10</v>
      </c>
    </row>
    <row r="1179" ht="20.1" customHeight="1" spans="1:8">
      <c r="A1179" s="5" t="str">
        <f t="shared" si="74"/>
        <v>221012</v>
      </c>
      <c r="B1179" s="5" t="str">
        <f>"2022114007"</f>
        <v>2022114007</v>
      </c>
      <c r="C1179" s="5" t="str">
        <f t="shared" si="75"/>
        <v>40</v>
      </c>
      <c r="D1179" s="5" t="str">
        <f>"07"</f>
        <v>07</v>
      </c>
      <c r="E1179" s="6">
        <v>118.5</v>
      </c>
      <c r="F1179" s="6">
        <v>105.9</v>
      </c>
      <c r="G1179" s="6">
        <v>74.8</v>
      </c>
      <c r="H1179" s="6" t="s">
        <v>9</v>
      </c>
    </row>
    <row r="1180" ht="20.1" customHeight="1" spans="1:8">
      <c r="A1180" s="5" t="str">
        <f t="shared" si="74"/>
        <v>221012</v>
      </c>
      <c r="B1180" s="5" t="str">
        <f>"2022114008"</f>
        <v>2022114008</v>
      </c>
      <c r="C1180" s="5" t="str">
        <f t="shared" si="75"/>
        <v>40</v>
      </c>
      <c r="D1180" s="5" t="str">
        <f>"08"</f>
        <v>08</v>
      </c>
      <c r="E1180" s="6">
        <v>0</v>
      </c>
      <c r="F1180" s="6">
        <v>0</v>
      </c>
      <c r="G1180" s="6">
        <v>0</v>
      </c>
      <c r="H1180" s="6" t="s">
        <v>10</v>
      </c>
    </row>
    <row r="1181" ht="20.1" customHeight="1" spans="1:8">
      <c r="A1181" s="5" t="str">
        <f t="shared" si="74"/>
        <v>221012</v>
      </c>
      <c r="B1181" s="5" t="str">
        <f>"2022114009"</f>
        <v>2022114009</v>
      </c>
      <c r="C1181" s="5" t="str">
        <f t="shared" si="75"/>
        <v>40</v>
      </c>
      <c r="D1181" s="5" t="str">
        <f>"09"</f>
        <v>09</v>
      </c>
      <c r="E1181" s="6">
        <v>0</v>
      </c>
      <c r="F1181" s="6">
        <v>0</v>
      </c>
      <c r="G1181" s="6">
        <v>0</v>
      </c>
      <c r="H1181" s="6" t="s">
        <v>10</v>
      </c>
    </row>
    <row r="1182" ht="20.1" customHeight="1" spans="1:8">
      <c r="A1182" s="5" t="str">
        <f t="shared" si="74"/>
        <v>221012</v>
      </c>
      <c r="B1182" s="5" t="str">
        <f>"2022114010"</f>
        <v>2022114010</v>
      </c>
      <c r="C1182" s="5" t="str">
        <f t="shared" si="75"/>
        <v>40</v>
      </c>
      <c r="D1182" s="5" t="str">
        <f>"10"</f>
        <v>10</v>
      </c>
      <c r="E1182" s="6">
        <v>88.5</v>
      </c>
      <c r="F1182" s="6">
        <v>99.1</v>
      </c>
      <c r="G1182" s="6">
        <v>62.5333333333333</v>
      </c>
      <c r="H1182" s="6" t="s">
        <v>9</v>
      </c>
    </row>
    <row r="1183" ht="20.1" customHeight="1" spans="1:8">
      <c r="A1183" s="5" t="str">
        <f t="shared" si="74"/>
        <v>221012</v>
      </c>
      <c r="B1183" s="5" t="str">
        <f>"2022114011"</f>
        <v>2022114011</v>
      </c>
      <c r="C1183" s="5" t="str">
        <f t="shared" si="75"/>
        <v>40</v>
      </c>
      <c r="D1183" s="5" t="str">
        <f>"11"</f>
        <v>11</v>
      </c>
      <c r="E1183" s="6">
        <v>114</v>
      </c>
      <c r="F1183" s="6">
        <v>107.5</v>
      </c>
      <c r="G1183" s="6">
        <v>73.8333333333333</v>
      </c>
      <c r="H1183" s="6" t="s">
        <v>9</v>
      </c>
    </row>
    <row r="1184" ht="20.1" customHeight="1" spans="1:8">
      <c r="A1184" s="5" t="str">
        <f t="shared" si="74"/>
        <v>221012</v>
      </c>
      <c r="B1184" s="5" t="str">
        <f>"2022114012"</f>
        <v>2022114012</v>
      </c>
      <c r="C1184" s="5" t="str">
        <f t="shared" si="75"/>
        <v>40</v>
      </c>
      <c r="D1184" s="5" t="str">
        <f>"12"</f>
        <v>12</v>
      </c>
      <c r="E1184" s="6">
        <v>96</v>
      </c>
      <c r="F1184" s="6">
        <v>108.8</v>
      </c>
      <c r="G1184" s="6">
        <v>68.2666666666667</v>
      </c>
      <c r="H1184" s="6" t="s">
        <v>9</v>
      </c>
    </row>
    <row r="1185" ht="20.1" customHeight="1" spans="1:8">
      <c r="A1185" s="5" t="str">
        <f t="shared" si="74"/>
        <v>221012</v>
      </c>
      <c r="B1185" s="5" t="str">
        <f>"2022114013"</f>
        <v>2022114013</v>
      </c>
      <c r="C1185" s="5" t="str">
        <f t="shared" si="75"/>
        <v>40</v>
      </c>
      <c r="D1185" s="5" t="str">
        <f>"13"</f>
        <v>13</v>
      </c>
      <c r="E1185" s="6">
        <v>0</v>
      </c>
      <c r="F1185" s="6">
        <v>0</v>
      </c>
      <c r="G1185" s="6">
        <v>0</v>
      </c>
      <c r="H1185" s="6" t="s">
        <v>10</v>
      </c>
    </row>
    <row r="1186" ht="20.1" customHeight="1" spans="1:8">
      <c r="A1186" s="5" t="str">
        <f t="shared" si="74"/>
        <v>221012</v>
      </c>
      <c r="B1186" s="5" t="str">
        <f>"2022114014"</f>
        <v>2022114014</v>
      </c>
      <c r="C1186" s="5" t="str">
        <f t="shared" si="75"/>
        <v>40</v>
      </c>
      <c r="D1186" s="5" t="str">
        <f>"14"</f>
        <v>14</v>
      </c>
      <c r="E1186" s="6">
        <v>105</v>
      </c>
      <c r="F1186" s="6">
        <v>108.3</v>
      </c>
      <c r="G1186" s="6">
        <v>71.1</v>
      </c>
      <c r="H1186" s="6" t="s">
        <v>9</v>
      </c>
    </row>
    <row r="1187" ht="20.1" customHeight="1" spans="1:8">
      <c r="A1187" s="5" t="str">
        <f t="shared" si="74"/>
        <v>221012</v>
      </c>
      <c r="B1187" s="5" t="str">
        <f>"2022114015"</f>
        <v>2022114015</v>
      </c>
      <c r="C1187" s="5" t="str">
        <f t="shared" si="75"/>
        <v>40</v>
      </c>
      <c r="D1187" s="5" t="str">
        <f>"15"</f>
        <v>15</v>
      </c>
      <c r="E1187" s="6">
        <v>103.5</v>
      </c>
      <c r="F1187" s="6">
        <v>107.9</v>
      </c>
      <c r="G1187" s="6">
        <v>70.4666666666667</v>
      </c>
      <c r="H1187" s="6" t="s">
        <v>9</v>
      </c>
    </row>
    <row r="1188" ht="20.1" customHeight="1" spans="1:8">
      <c r="A1188" s="5" t="str">
        <f t="shared" si="74"/>
        <v>221012</v>
      </c>
      <c r="B1188" s="5" t="str">
        <f>"2022114016"</f>
        <v>2022114016</v>
      </c>
      <c r="C1188" s="5" t="str">
        <f t="shared" si="75"/>
        <v>40</v>
      </c>
      <c r="D1188" s="5" t="str">
        <f>"16"</f>
        <v>16</v>
      </c>
      <c r="E1188" s="6">
        <v>0</v>
      </c>
      <c r="F1188" s="6">
        <v>0</v>
      </c>
      <c r="G1188" s="6">
        <v>0</v>
      </c>
      <c r="H1188" s="6" t="s">
        <v>10</v>
      </c>
    </row>
    <row r="1189" ht="20.1" customHeight="1" spans="1:8">
      <c r="A1189" s="5" t="str">
        <f t="shared" si="74"/>
        <v>221012</v>
      </c>
      <c r="B1189" s="5" t="str">
        <f>"2022114017"</f>
        <v>2022114017</v>
      </c>
      <c r="C1189" s="5" t="str">
        <f t="shared" si="75"/>
        <v>40</v>
      </c>
      <c r="D1189" s="5" t="str">
        <f>"17"</f>
        <v>17</v>
      </c>
      <c r="E1189" s="6">
        <v>0</v>
      </c>
      <c r="F1189" s="6">
        <v>0</v>
      </c>
      <c r="G1189" s="6">
        <v>0</v>
      </c>
      <c r="H1189" s="6" t="s">
        <v>10</v>
      </c>
    </row>
    <row r="1190" ht="20.1" customHeight="1" spans="1:8">
      <c r="A1190" s="5" t="str">
        <f t="shared" si="74"/>
        <v>221012</v>
      </c>
      <c r="B1190" s="5" t="str">
        <f>"2022114018"</f>
        <v>2022114018</v>
      </c>
      <c r="C1190" s="5" t="str">
        <f t="shared" si="75"/>
        <v>40</v>
      </c>
      <c r="D1190" s="5" t="str">
        <f>"18"</f>
        <v>18</v>
      </c>
      <c r="E1190" s="6">
        <v>0</v>
      </c>
      <c r="F1190" s="6">
        <v>0</v>
      </c>
      <c r="G1190" s="6">
        <v>0</v>
      </c>
      <c r="H1190" s="6" t="s">
        <v>10</v>
      </c>
    </row>
    <row r="1191" ht="20.1" customHeight="1" spans="1:8">
      <c r="A1191" s="5" t="str">
        <f t="shared" si="74"/>
        <v>221012</v>
      </c>
      <c r="B1191" s="5" t="str">
        <f>"2022114019"</f>
        <v>2022114019</v>
      </c>
      <c r="C1191" s="5" t="str">
        <f t="shared" si="75"/>
        <v>40</v>
      </c>
      <c r="D1191" s="5" t="str">
        <f>"19"</f>
        <v>19</v>
      </c>
      <c r="E1191" s="6">
        <v>123</v>
      </c>
      <c r="F1191" s="6">
        <v>114.3</v>
      </c>
      <c r="G1191" s="6">
        <v>79.1</v>
      </c>
      <c r="H1191" s="7" t="s">
        <v>11</v>
      </c>
    </row>
    <row r="1192" ht="20.1" customHeight="1" spans="1:8">
      <c r="A1192" s="5" t="str">
        <f t="shared" ref="A1192:A1224" si="76">"221012"</f>
        <v>221012</v>
      </c>
      <c r="B1192" s="5" t="str">
        <f>"2022114020"</f>
        <v>2022114020</v>
      </c>
      <c r="C1192" s="5" t="str">
        <f t="shared" si="75"/>
        <v>40</v>
      </c>
      <c r="D1192" s="5" t="str">
        <f>"20"</f>
        <v>20</v>
      </c>
      <c r="E1192" s="6">
        <v>52.5</v>
      </c>
      <c r="F1192" s="6">
        <v>110.6</v>
      </c>
      <c r="G1192" s="6">
        <v>54.3666666666667</v>
      </c>
      <c r="H1192" s="6" t="s">
        <v>9</v>
      </c>
    </row>
    <row r="1193" ht="20.1" customHeight="1" spans="1:8">
      <c r="A1193" s="5" t="str">
        <f t="shared" si="76"/>
        <v>221012</v>
      </c>
      <c r="B1193" s="5" t="str">
        <f>"2022114021"</f>
        <v>2022114021</v>
      </c>
      <c r="C1193" s="5" t="str">
        <f t="shared" si="75"/>
        <v>40</v>
      </c>
      <c r="D1193" s="5" t="str">
        <f>"21"</f>
        <v>21</v>
      </c>
      <c r="E1193" s="6">
        <v>0</v>
      </c>
      <c r="F1193" s="6">
        <v>0</v>
      </c>
      <c r="G1193" s="6">
        <v>0</v>
      </c>
      <c r="H1193" s="6" t="s">
        <v>10</v>
      </c>
    </row>
    <row r="1194" ht="20.1" customHeight="1" spans="1:8">
      <c r="A1194" s="5" t="str">
        <f t="shared" si="76"/>
        <v>221012</v>
      </c>
      <c r="B1194" s="5" t="str">
        <f>"2022114022"</f>
        <v>2022114022</v>
      </c>
      <c r="C1194" s="5" t="str">
        <f t="shared" si="75"/>
        <v>40</v>
      </c>
      <c r="D1194" s="5" t="str">
        <f>"22"</f>
        <v>22</v>
      </c>
      <c r="E1194" s="6">
        <v>105</v>
      </c>
      <c r="F1194" s="6">
        <v>104.6</v>
      </c>
      <c r="G1194" s="6">
        <v>69.8666666666667</v>
      </c>
      <c r="H1194" s="6" t="s">
        <v>9</v>
      </c>
    </row>
    <row r="1195" ht="20.1" customHeight="1" spans="1:8">
      <c r="A1195" s="5" t="str">
        <f t="shared" si="76"/>
        <v>221012</v>
      </c>
      <c r="B1195" s="5" t="str">
        <f>"2022114023"</f>
        <v>2022114023</v>
      </c>
      <c r="C1195" s="5" t="str">
        <f t="shared" si="75"/>
        <v>40</v>
      </c>
      <c r="D1195" s="5" t="str">
        <f>"23"</f>
        <v>23</v>
      </c>
      <c r="E1195" s="6">
        <v>0</v>
      </c>
      <c r="F1195" s="6">
        <v>0</v>
      </c>
      <c r="G1195" s="6">
        <v>0</v>
      </c>
      <c r="H1195" s="6" t="s">
        <v>10</v>
      </c>
    </row>
    <row r="1196" ht="20.1" customHeight="1" spans="1:8">
      <c r="A1196" s="5" t="str">
        <f t="shared" si="76"/>
        <v>221012</v>
      </c>
      <c r="B1196" s="5" t="str">
        <f>"2022114024"</f>
        <v>2022114024</v>
      </c>
      <c r="C1196" s="5" t="str">
        <f t="shared" si="75"/>
        <v>40</v>
      </c>
      <c r="D1196" s="5" t="str">
        <f>"24"</f>
        <v>24</v>
      </c>
      <c r="E1196" s="6">
        <v>127.5</v>
      </c>
      <c r="F1196" s="6">
        <v>109.4</v>
      </c>
      <c r="G1196" s="6">
        <v>78.9666666666667</v>
      </c>
      <c r="H1196" s="7" t="s">
        <v>11</v>
      </c>
    </row>
    <row r="1197" ht="20.1" customHeight="1" spans="1:8">
      <c r="A1197" s="5" t="str">
        <f t="shared" si="76"/>
        <v>221012</v>
      </c>
      <c r="B1197" s="5" t="str">
        <f>"2022114025"</f>
        <v>2022114025</v>
      </c>
      <c r="C1197" s="5" t="str">
        <f t="shared" si="75"/>
        <v>40</v>
      </c>
      <c r="D1197" s="5" t="str">
        <f>"25"</f>
        <v>25</v>
      </c>
      <c r="E1197" s="6">
        <v>106.5</v>
      </c>
      <c r="F1197" s="6">
        <v>111.3</v>
      </c>
      <c r="G1197" s="6">
        <v>72.6</v>
      </c>
      <c r="H1197" s="6" t="s">
        <v>9</v>
      </c>
    </row>
    <row r="1198" ht="20.1" customHeight="1" spans="1:8">
      <c r="A1198" s="5" t="str">
        <f t="shared" si="76"/>
        <v>221012</v>
      </c>
      <c r="B1198" s="5" t="str">
        <f>"2022114026"</f>
        <v>2022114026</v>
      </c>
      <c r="C1198" s="5" t="str">
        <f t="shared" si="75"/>
        <v>40</v>
      </c>
      <c r="D1198" s="5" t="str">
        <f>"26"</f>
        <v>26</v>
      </c>
      <c r="E1198" s="6">
        <v>0</v>
      </c>
      <c r="F1198" s="6">
        <v>0</v>
      </c>
      <c r="G1198" s="6">
        <v>0</v>
      </c>
      <c r="H1198" s="6" t="s">
        <v>10</v>
      </c>
    </row>
    <row r="1199" ht="20.1" customHeight="1" spans="1:8">
      <c r="A1199" s="5" t="str">
        <f t="shared" si="76"/>
        <v>221012</v>
      </c>
      <c r="B1199" s="5" t="str">
        <f>"2022114027"</f>
        <v>2022114027</v>
      </c>
      <c r="C1199" s="5" t="str">
        <f t="shared" si="75"/>
        <v>40</v>
      </c>
      <c r="D1199" s="5" t="str">
        <f>"27"</f>
        <v>27</v>
      </c>
      <c r="E1199" s="6">
        <v>99</v>
      </c>
      <c r="F1199" s="6">
        <v>104.5</v>
      </c>
      <c r="G1199" s="6">
        <v>67.8333333333333</v>
      </c>
      <c r="H1199" s="6" t="s">
        <v>9</v>
      </c>
    </row>
    <row r="1200" ht="20.1" customHeight="1" spans="1:8">
      <c r="A1200" s="5" t="str">
        <f t="shared" si="76"/>
        <v>221012</v>
      </c>
      <c r="B1200" s="5" t="str">
        <f>"2022114028"</f>
        <v>2022114028</v>
      </c>
      <c r="C1200" s="5" t="str">
        <f t="shared" si="75"/>
        <v>40</v>
      </c>
      <c r="D1200" s="5" t="str">
        <f>"28"</f>
        <v>28</v>
      </c>
      <c r="E1200" s="6">
        <v>0</v>
      </c>
      <c r="F1200" s="6">
        <v>0</v>
      </c>
      <c r="G1200" s="6">
        <v>0</v>
      </c>
      <c r="H1200" s="6" t="s">
        <v>10</v>
      </c>
    </row>
    <row r="1201" ht="20.1" customHeight="1" spans="1:8">
      <c r="A1201" s="5" t="str">
        <f t="shared" si="76"/>
        <v>221012</v>
      </c>
      <c r="B1201" s="5" t="str">
        <f>"2022114029"</f>
        <v>2022114029</v>
      </c>
      <c r="C1201" s="5" t="str">
        <f t="shared" si="75"/>
        <v>40</v>
      </c>
      <c r="D1201" s="5" t="str">
        <f>"29"</f>
        <v>29</v>
      </c>
      <c r="E1201" s="6">
        <v>0</v>
      </c>
      <c r="F1201" s="6">
        <v>0</v>
      </c>
      <c r="G1201" s="6">
        <v>0</v>
      </c>
      <c r="H1201" s="6" t="s">
        <v>10</v>
      </c>
    </row>
    <row r="1202" ht="20.1" customHeight="1" spans="1:8">
      <c r="A1202" s="5" t="str">
        <f t="shared" si="76"/>
        <v>221012</v>
      </c>
      <c r="B1202" s="5" t="str">
        <f>"2022114030"</f>
        <v>2022114030</v>
      </c>
      <c r="C1202" s="5" t="str">
        <f t="shared" si="75"/>
        <v>40</v>
      </c>
      <c r="D1202" s="5" t="str">
        <f>"30"</f>
        <v>30</v>
      </c>
      <c r="E1202" s="6">
        <v>115.5</v>
      </c>
      <c r="F1202" s="6">
        <v>113.4</v>
      </c>
      <c r="G1202" s="6">
        <v>76.3</v>
      </c>
      <c r="H1202" s="6" t="s">
        <v>9</v>
      </c>
    </row>
    <row r="1203" ht="20.1" customHeight="1" spans="1:8">
      <c r="A1203" s="5" t="str">
        <f t="shared" si="76"/>
        <v>221012</v>
      </c>
      <c r="B1203" s="5" t="str">
        <f>"2022114101"</f>
        <v>2022114101</v>
      </c>
      <c r="C1203" s="5" t="str">
        <f t="shared" ref="C1203:C1232" si="77">"41"</f>
        <v>41</v>
      </c>
      <c r="D1203" s="5" t="str">
        <f>"01"</f>
        <v>01</v>
      </c>
      <c r="E1203" s="6">
        <v>117</v>
      </c>
      <c r="F1203" s="6">
        <v>102.4</v>
      </c>
      <c r="G1203" s="6">
        <v>73.1333333333333</v>
      </c>
      <c r="H1203" s="6" t="s">
        <v>9</v>
      </c>
    </row>
    <row r="1204" ht="20.1" customHeight="1" spans="1:8">
      <c r="A1204" s="5" t="str">
        <f t="shared" si="76"/>
        <v>221012</v>
      </c>
      <c r="B1204" s="5" t="str">
        <f>"2022114102"</f>
        <v>2022114102</v>
      </c>
      <c r="C1204" s="5" t="str">
        <f t="shared" si="77"/>
        <v>41</v>
      </c>
      <c r="D1204" s="5" t="str">
        <f>"02"</f>
        <v>02</v>
      </c>
      <c r="E1204" s="6">
        <v>0</v>
      </c>
      <c r="F1204" s="6">
        <v>0</v>
      </c>
      <c r="G1204" s="6">
        <v>0</v>
      </c>
      <c r="H1204" s="6" t="s">
        <v>10</v>
      </c>
    </row>
    <row r="1205" ht="20.1" customHeight="1" spans="1:8">
      <c r="A1205" s="5" t="str">
        <f t="shared" si="76"/>
        <v>221012</v>
      </c>
      <c r="B1205" s="5" t="str">
        <f>"2022114103"</f>
        <v>2022114103</v>
      </c>
      <c r="C1205" s="5" t="str">
        <f t="shared" si="77"/>
        <v>41</v>
      </c>
      <c r="D1205" s="5" t="str">
        <f>"03"</f>
        <v>03</v>
      </c>
      <c r="E1205" s="6">
        <v>0</v>
      </c>
      <c r="F1205" s="6">
        <v>0</v>
      </c>
      <c r="G1205" s="6">
        <v>0</v>
      </c>
      <c r="H1205" s="6" t="s">
        <v>10</v>
      </c>
    </row>
    <row r="1206" ht="20.1" customHeight="1" spans="1:8">
      <c r="A1206" s="5" t="str">
        <f t="shared" si="76"/>
        <v>221012</v>
      </c>
      <c r="B1206" s="5" t="str">
        <f>"2022114104"</f>
        <v>2022114104</v>
      </c>
      <c r="C1206" s="5" t="str">
        <f t="shared" si="77"/>
        <v>41</v>
      </c>
      <c r="D1206" s="5" t="str">
        <f>"04"</f>
        <v>04</v>
      </c>
      <c r="E1206" s="6">
        <v>109.5</v>
      </c>
      <c r="F1206" s="6">
        <v>97.1</v>
      </c>
      <c r="G1206" s="6">
        <v>68.8666666666667</v>
      </c>
      <c r="H1206" s="6" t="s">
        <v>9</v>
      </c>
    </row>
    <row r="1207" ht="20.1" customHeight="1" spans="1:8">
      <c r="A1207" s="5" t="str">
        <f t="shared" si="76"/>
        <v>221012</v>
      </c>
      <c r="B1207" s="5" t="str">
        <f>"2022114105"</f>
        <v>2022114105</v>
      </c>
      <c r="C1207" s="5" t="str">
        <f t="shared" si="77"/>
        <v>41</v>
      </c>
      <c r="D1207" s="5" t="str">
        <f>"05"</f>
        <v>05</v>
      </c>
      <c r="E1207" s="6">
        <v>93</v>
      </c>
      <c r="F1207" s="6">
        <v>112</v>
      </c>
      <c r="G1207" s="6">
        <v>68.3333333333333</v>
      </c>
      <c r="H1207" s="6" t="s">
        <v>9</v>
      </c>
    </row>
    <row r="1208" ht="20.1" customHeight="1" spans="1:8">
      <c r="A1208" s="5" t="str">
        <f t="shared" si="76"/>
        <v>221012</v>
      </c>
      <c r="B1208" s="5" t="str">
        <f>"2022114106"</f>
        <v>2022114106</v>
      </c>
      <c r="C1208" s="5" t="str">
        <f t="shared" si="77"/>
        <v>41</v>
      </c>
      <c r="D1208" s="5" t="str">
        <f>"06"</f>
        <v>06</v>
      </c>
      <c r="E1208" s="6">
        <v>0</v>
      </c>
      <c r="F1208" s="6">
        <v>0</v>
      </c>
      <c r="G1208" s="6">
        <v>0</v>
      </c>
      <c r="H1208" s="6" t="s">
        <v>10</v>
      </c>
    </row>
    <row r="1209" ht="20.1" customHeight="1" spans="1:8">
      <c r="A1209" s="5" t="str">
        <f t="shared" si="76"/>
        <v>221012</v>
      </c>
      <c r="B1209" s="5" t="str">
        <f>"2022114107"</f>
        <v>2022114107</v>
      </c>
      <c r="C1209" s="5" t="str">
        <f t="shared" si="77"/>
        <v>41</v>
      </c>
      <c r="D1209" s="5" t="str">
        <f>"07"</f>
        <v>07</v>
      </c>
      <c r="E1209" s="6">
        <v>102</v>
      </c>
      <c r="F1209" s="6">
        <v>113</v>
      </c>
      <c r="G1209" s="6">
        <v>71.6666666666667</v>
      </c>
      <c r="H1209" s="6" t="s">
        <v>9</v>
      </c>
    </row>
    <row r="1210" ht="20.1" customHeight="1" spans="1:8">
      <c r="A1210" s="5" t="str">
        <f t="shared" si="76"/>
        <v>221012</v>
      </c>
      <c r="B1210" s="5" t="str">
        <f>"2022114108"</f>
        <v>2022114108</v>
      </c>
      <c r="C1210" s="5" t="str">
        <f t="shared" si="77"/>
        <v>41</v>
      </c>
      <c r="D1210" s="5" t="str">
        <f>"08"</f>
        <v>08</v>
      </c>
      <c r="E1210" s="6">
        <v>103.5</v>
      </c>
      <c r="F1210" s="6">
        <v>117.2</v>
      </c>
      <c r="G1210" s="6">
        <v>73.5666666666667</v>
      </c>
      <c r="H1210" s="6" t="s">
        <v>9</v>
      </c>
    </row>
    <row r="1211" ht="20.1" customHeight="1" spans="1:8">
      <c r="A1211" s="5" t="str">
        <f t="shared" si="76"/>
        <v>221012</v>
      </c>
      <c r="B1211" s="5" t="str">
        <f>"2022114109"</f>
        <v>2022114109</v>
      </c>
      <c r="C1211" s="5" t="str">
        <f t="shared" si="77"/>
        <v>41</v>
      </c>
      <c r="D1211" s="5" t="str">
        <f>"09"</f>
        <v>09</v>
      </c>
      <c r="E1211" s="6">
        <v>114</v>
      </c>
      <c r="F1211" s="6">
        <v>74.6</v>
      </c>
      <c r="G1211" s="6">
        <v>62.8666666666667</v>
      </c>
      <c r="H1211" s="6" t="s">
        <v>9</v>
      </c>
    </row>
    <row r="1212" ht="20.1" customHeight="1" spans="1:8">
      <c r="A1212" s="5" t="str">
        <f t="shared" si="76"/>
        <v>221012</v>
      </c>
      <c r="B1212" s="5" t="str">
        <f>"2022114110"</f>
        <v>2022114110</v>
      </c>
      <c r="C1212" s="5" t="str">
        <f t="shared" si="77"/>
        <v>41</v>
      </c>
      <c r="D1212" s="5" t="str">
        <f>"10"</f>
        <v>10</v>
      </c>
      <c r="E1212" s="6">
        <v>0</v>
      </c>
      <c r="F1212" s="6">
        <v>0</v>
      </c>
      <c r="G1212" s="6">
        <v>0</v>
      </c>
      <c r="H1212" s="6" t="s">
        <v>10</v>
      </c>
    </row>
    <row r="1213" ht="20.1" customHeight="1" spans="1:8">
      <c r="A1213" s="5" t="str">
        <f t="shared" si="76"/>
        <v>221012</v>
      </c>
      <c r="B1213" s="5" t="str">
        <f>"2022114111"</f>
        <v>2022114111</v>
      </c>
      <c r="C1213" s="5" t="str">
        <f t="shared" si="77"/>
        <v>41</v>
      </c>
      <c r="D1213" s="5" t="str">
        <f>"11"</f>
        <v>11</v>
      </c>
      <c r="E1213" s="6">
        <v>114</v>
      </c>
      <c r="F1213" s="6">
        <v>113.4</v>
      </c>
      <c r="G1213" s="6">
        <v>75.8</v>
      </c>
      <c r="H1213" s="6" t="s">
        <v>9</v>
      </c>
    </row>
    <row r="1214" ht="20.1" customHeight="1" spans="1:8">
      <c r="A1214" s="5" t="str">
        <f t="shared" si="76"/>
        <v>221012</v>
      </c>
      <c r="B1214" s="5" t="str">
        <f>"2022114112"</f>
        <v>2022114112</v>
      </c>
      <c r="C1214" s="5" t="str">
        <f t="shared" si="77"/>
        <v>41</v>
      </c>
      <c r="D1214" s="5" t="str">
        <f>"12"</f>
        <v>12</v>
      </c>
      <c r="E1214" s="6">
        <v>0</v>
      </c>
      <c r="F1214" s="6">
        <v>0</v>
      </c>
      <c r="G1214" s="6">
        <v>0</v>
      </c>
      <c r="H1214" s="6" t="s">
        <v>10</v>
      </c>
    </row>
    <row r="1215" ht="20.1" customHeight="1" spans="1:8">
      <c r="A1215" s="5" t="str">
        <f t="shared" si="76"/>
        <v>221012</v>
      </c>
      <c r="B1215" s="5" t="str">
        <f>"2022114113"</f>
        <v>2022114113</v>
      </c>
      <c r="C1215" s="5" t="str">
        <f t="shared" si="77"/>
        <v>41</v>
      </c>
      <c r="D1215" s="5" t="str">
        <f>"13"</f>
        <v>13</v>
      </c>
      <c r="E1215" s="6">
        <v>112.5</v>
      </c>
      <c r="F1215" s="6">
        <v>115.5</v>
      </c>
      <c r="G1215" s="6">
        <v>76</v>
      </c>
      <c r="H1215" s="6" t="s">
        <v>9</v>
      </c>
    </row>
    <row r="1216" ht="20.1" customHeight="1" spans="1:8">
      <c r="A1216" s="5" t="str">
        <f t="shared" si="76"/>
        <v>221012</v>
      </c>
      <c r="B1216" s="5" t="str">
        <f>"2022114114"</f>
        <v>2022114114</v>
      </c>
      <c r="C1216" s="5" t="str">
        <f t="shared" si="77"/>
        <v>41</v>
      </c>
      <c r="D1216" s="5" t="str">
        <f>"14"</f>
        <v>14</v>
      </c>
      <c r="E1216" s="6">
        <v>99</v>
      </c>
      <c r="F1216" s="6">
        <v>102.6</v>
      </c>
      <c r="G1216" s="6">
        <v>67.2</v>
      </c>
      <c r="H1216" s="6" t="s">
        <v>9</v>
      </c>
    </row>
    <row r="1217" ht="20.1" customHeight="1" spans="1:8">
      <c r="A1217" s="5" t="str">
        <f t="shared" si="76"/>
        <v>221012</v>
      </c>
      <c r="B1217" s="5" t="str">
        <f>"2022114115"</f>
        <v>2022114115</v>
      </c>
      <c r="C1217" s="5" t="str">
        <f t="shared" si="77"/>
        <v>41</v>
      </c>
      <c r="D1217" s="5" t="str">
        <f>"15"</f>
        <v>15</v>
      </c>
      <c r="E1217" s="6">
        <v>0</v>
      </c>
      <c r="F1217" s="6">
        <v>0</v>
      </c>
      <c r="G1217" s="6">
        <v>0</v>
      </c>
      <c r="H1217" s="6" t="s">
        <v>10</v>
      </c>
    </row>
    <row r="1218" ht="20.1" customHeight="1" spans="1:8">
      <c r="A1218" s="5" t="str">
        <f t="shared" si="76"/>
        <v>221012</v>
      </c>
      <c r="B1218" s="5" t="str">
        <f>"2022114116"</f>
        <v>2022114116</v>
      </c>
      <c r="C1218" s="5" t="str">
        <f t="shared" si="77"/>
        <v>41</v>
      </c>
      <c r="D1218" s="5" t="str">
        <f>"16"</f>
        <v>16</v>
      </c>
      <c r="E1218" s="6">
        <v>112.5</v>
      </c>
      <c r="F1218" s="6">
        <v>104.4</v>
      </c>
      <c r="G1218" s="6">
        <v>72.3</v>
      </c>
      <c r="H1218" s="6" t="s">
        <v>9</v>
      </c>
    </row>
    <row r="1219" ht="20.1" customHeight="1" spans="1:8">
      <c r="A1219" s="5" t="str">
        <f t="shared" si="76"/>
        <v>221012</v>
      </c>
      <c r="B1219" s="5" t="str">
        <f>"2022114117"</f>
        <v>2022114117</v>
      </c>
      <c r="C1219" s="5" t="str">
        <f t="shared" si="77"/>
        <v>41</v>
      </c>
      <c r="D1219" s="5" t="str">
        <f>"17"</f>
        <v>17</v>
      </c>
      <c r="E1219" s="6">
        <v>102</v>
      </c>
      <c r="F1219" s="6">
        <v>106.1</v>
      </c>
      <c r="G1219" s="6">
        <v>69.3666666666667</v>
      </c>
      <c r="H1219" s="6" t="s">
        <v>9</v>
      </c>
    </row>
    <row r="1220" ht="20.1" customHeight="1" spans="1:8">
      <c r="A1220" s="5" t="str">
        <f t="shared" si="76"/>
        <v>221012</v>
      </c>
      <c r="B1220" s="5" t="str">
        <f>"2022114118"</f>
        <v>2022114118</v>
      </c>
      <c r="C1220" s="5" t="str">
        <f t="shared" si="77"/>
        <v>41</v>
      </c>
      <c r="D1220" s="5" t="str">
        <f>"18"</f>
        <v>18</v>
      </c>
      <c r="E1220" s="6">
        <v>81</v>
      </c>
      <c r="F1220" s="6">
        <v>108.7</v>
      </c>
      <c r="G1220" s="6">
        <v>63.2333333333333</v>
      </c>
      <c r="H1220" s="6" t="s">
        <v>9</v>
      </c>
    </row>
    <row r="1221" ht="20.1" customHeight="1" spans="1:8">
      <c r="A1221" s="5" t="str">
        <f t="shared" si="76"/>
        <v>221012</v>
      </c>
      <c r="B1221" s="5" t="str">
        <f>"2022114119"</f>
        <v>2022114119</v>
      </c>
      <c r="C1221" s="5" t="str">
        <f t="shared" si="77"/>
        <v>41</v>
      </c>
      <c r="D1221" s="5" t="str">
        <f>"19"</f>
        <v>19</v>
      </c>
      <c r="E1221" s="6">
        <v>117</v>
      </c>
      <c r="F1221" s="6">
        <v>110.6</v>
      </c>
      <c r="G1221" s="6">
        <v>75.8666666666667</v>
      </c>
      <c r="H1221" s="6" t="s">
        <v>9</v>
      </c>
    </row>
    <row r="1222" ht="20.1" customHeight="1" spans="1:8">
      <c r="A1222" s="5" t="str">
        <f t="shared" si="76"/>
        <v>221012</v>
      </c>
      <c r="B1222" s="5" t="str">
        <f>"2022114120"</f>
        <v>2022114120</v>
      </c>
      <c r="C1222" s="5" t="str">
        <f t="shared" si="77"/>
        <v>41</v>
      </c>
      <c r="D1222" s="5" t="str">
        <f>"20"</f>
        <v>20</v>
      </c>
      <c r="E1222" s="6">
        <v>0</v>
      </c>
      <c r="F1222" s="6">
        <v>0</v>
      </c>
      <c r="G1222" s="6">
        <v>0</v>
      </c>
      <c r="H1222" s="6" t="s">
        <v>10</v>
      </c>
    </row>
    <row r="1223" ht="20.1" customHeight="1" spans="1:8">
      <c r="A1223" s="5" t="str">
        <f t="shared" si="76"/>
        <v>221012</v>
      </c>
      <c r="B1223" s="5" t="str">
        <f>"2022114121"</f>
        <v>2022114121</v>
      </c>
      <c r="C1223" s="5" t="str">
        <f t="shared" si="77"/>
        <v>41</v>
      </c>
      <c r="D1223" s="5" t="str">
        <f>"21"</f>
        <v>21</v>
      </c>
      <c r="E1223" s="6">
        <v>81</v>
      </c>
      <c r="F1223" s="6">
        <v>113.8</v>
      </c>
      <c r="G1223" s="6">
        <v>64.9333333333333</v>
      </c>
      <c r="H1223" s="6" t="s">
        <v>9</v>
      </c>
    </row>
    <row r="1224" ht="20.1" customHeight="1" spans="1:8">
      <c r="A1224" s="5" t="str">
        <f t="shared" si="76"/>
        <v>221012</v>
      </c>
      <c r="B1224" s="5" t="str">
        <f>"2022114122"</f>
        <v>2022114122</v>
      </c>
      <c r="C1224" s="5" t="str">
        <f t="shared" si="77"/>
        <v>41</v>
      </c>
      <c r="D1224" s="5" t="str">
        <f>"22"</f>
        <v>22</v>
      </c>
      <c r="E1224" s="6">
        <v>76.5</v>
      </c>
      <c r="F1224" s="6">
        <v>110.2</v>
      </c>
      <c r="G1224" s="6">
        <v>62.2333333333333</v>
      </c>
      <c r="H1224" s="6" t="s">
        <v>9</v>
      </c>
    </row>
    <row r="1225" ht="20.1" customHeight="1" spans="1:8">
      <c r="A1225" s="5" t="str">
        <f t="shared" ref="A1225:A1268" si="78">"221013"</f>
        <v>221013</v>
      </c>
      <c r="B1225" s="5" t="str">
        <f>"2022114123"</f>
        <v>2022114123</v>
      </c>
      <c r="C1225" s="5" t="str">
        <f t="shared" si="77"/>
        <v>41</v>
      </c>
      <c r="D1225" s="5" t="str">
        <f>"23"</f>
        <v>23</v>
      </c>
      <c r="E1225" s="6">
        <v>117</v>
      </c>
      <c r="F1225" s="6">
        <v>107.8</v>
      </c>
      <c r="G1225" s="6">
        <v>74.9333333333333</v>
      </c>
      <c r="H1225" s="6" t="s">
        <v>9</v>
      </c>
    </row>
    <row r="1226" ht="20.1" customHeight="1" spans="1:8">
      <c r="A1226" s="5" t="str">
        <f t="shared" si="78"/>
        <v>221013</v>
      </c>
      <c r="B1226" s="5" t="str">
        <f>"2022114124"</f>
        <v>2022114124</v>
      </c>
      <c r="C1226" s="5" t="str">
        <f t="shared" si="77"/>
        <v>41</v>
      </c>
      <c r="D1226" s="5" t="str">
        <f>"24"</f>
        <v>24</v>
      </c>
      <c r="E1226" s="6">
        <v>115.5</v>
      </c>
      <c r="F1226" s="6">
        <v>108.4</v>
      </c>
      <c r="G1226" s="6">
        <v>74.6333333333333</v>
      </c>
      <c r="H1226" s="6" t="s">
        <v>9</v>
      </c>
    </row>
    <row r="1227" ht="20.1" customHeight="1" spans="1:8">
      <c r="A1227" s="5" t="str">
        <f t="shared" si="78"/>
        <v>221013</v>
      </c>
      <c r="B1227" s="5" t="str">
        <f>"2022114125"</f>
        <v>2022114125</v>
      </c>
      <c r="C1227" s="5" t="str">
        <f t="shared" si="77"/>
        <v>41</v>
      </c>
      <c r="D1227" s="5" t="str">
        <f>"25"</f>
        <v>25</v>
      </c>
      <c r="E1227" s="6">
        <v>121.5</v>
      </c>
      <c r="F1227" s="6">
        <v>107.9</v>
      </c>
      <c r="G1227" s="6">
        <v>76.4666666666667</v>
      </c>
      <c r="H1227" s="6" t="s">
        <v>9</v>
      </c>
    </row>
    <row r="1228" ht="20.1" customHeight="1" spans="1:8">
      <c r="A1228" s="5" t="str">
        <f t="shared" si="78"/>
        <v>221013</v>
      </c>
      <c r="B1228" s="5" t="str">
        <f>"2022114126"</f>
        <v>2022114126</v>
      </c>
      <c r="C1228" s="5" t="str">
        <f t="shared" si="77"/>
        <v>41</v>
      </c>
      <c r="D1228" s="5" t="str">
        <f>"26"</f>
        <v>26</v>
      </c>
      <c r="E1228" s="6">
        <v>124.5</v>
      </c>
      <c r="F1228" s="6">
        <v>99.5</v>
      </c>
      <c r="G1228" s="6">
        <v>74.6666666666667</v>
      </c>
      <c r="H1228" s="6" t="s">
        <v>9</v>
      </c>
    </row>
    <row r="1229" ht="20.1" customHeight="1" spans="1:8">
      <c r="A1229" s="5" t="str">
        <f t="shared" si="78"/>
        <v>221013</v>
      </c>
      <c r="B1229" s="5" t="str">
        <f>"2022114127"</f>
        <v>2022114127</v>
      </c>
      <c r="C1229" s="5" t="str">
        <f t="shared" si="77"/>
        <v>41</v>
      </c>
      <c r="D1229" s="5" t="str">
        <f>"27"</f>
        <v>27</v>
      </c>
      <c r="E1229" s="6">
        <v>123</v>
      </c>
      <c r="F1229" s="6">
        <v>116.8</v>
      </c>
      <c r="G1229" s="6">
        <v>79.9333333333333</v>
      </c>
      <c r="H1229" s="6" t="s">
        <v>9</v>
      </c>
    </row>
    <row r="1230" ht="20.1" customHeight="1" spans="1:8">
      <c r="A1230" s="5" t="str">
        <f t="shared" si="78"/>
        <v>221013</v>
      </c>
      <c r="B1230" s="5" t="str">
        <f>"2022114128"</f>
        <v>2022114128</v>
      </c>
      <c r="C1230" s="5" t="str">
        <f t="shared" si="77"/>
        <v>41</v>
      </c>
      <c r="D1230" s="5" t="str">
        <f>"28"</f>
        <v>28</v>
      </c>
      <c r="E1230" s="6">
        <v>126</v>
      </c>
      <c r="F1230" s="6">
        <v>111.7</v>
      </c>
      <c r="G1230" s="6">
        <v>79.2333333333333</v>
      </c>
      <c r="H1230" s="6" t="s">
        <v>9</v>
      </c>
    </row>
    <row r="1231" ht="20.1" customHeight="1" spans="1:8">
      <c r="A1231" s="5" t="str">
        <f t="shared" si="78"/>
        <v>221013</v>
      </c>
      <c r="B1231" s="5" t="str">
        <f>"2022114129"</f>
        <v>2022114129</v>
      </c>
      <c r="C1231" s="5" t="str">
        <f t="shared" si="77"/>
        <v>41</v>
      </c>
      <c r="D1231" s="5" t="str">
        <f>"29"</f>
        <v>29</v>
      </c>
      <c r="E1231" s="6">
        <v>108</v>
      </c>
      <c r="F1231" s="6">
        <v>113.2</v>
      </c>
      <c r="G1231" s="6">
        <v>73.7333333333333</v>
      </c>
      <c r="H1231" s="6" t="s">
        <v>9</v>
      </c>
    </row>
    <row r="1232" ht="20.1" customHeight="1" spans="1:8">
      <c r="A1232" s="5" t="str">
        <f t="shared" si="78"/>
        <v>221013</v>
      </c>
      <c r="B1232" s="5" t="str">
        <f>"2022114130"</f>
        <v>2022114130</v>
      </c>
      <c r="C1232" s="5" t="str">
        <f t="shared" si="77"/>
        <v>41</v>
      </c>
      <c r="D1232" s="5" t="str">
        <f>"30"</f>
        <v>30</v>
      </c>
      <c r="E1232" s="6">
        <v>120</v>
      </c>
      <c r="F1232" s="6">
        <v>95.4</v>
      </c>
      <c r="G1232" s="6">
        <v>71.8</v>
      </c>
      <c r="H1232" s="6" t="s">
        <v>9</v>
      </c>
    </row>
    <row r="1233" ht="20.1" customHeight="1" spans="1:8">
      <c r="A1233" s="5" t="str">
        <f t="shared" si="78"/>
        <v>221013</v>
      </c>
      <c r="B1233" s="5" t="str">
        <f>"2022114201"</f>
        <v>2022114201</v>
      </c>
      <c r="C1233" s="5" t="str">
        <f t="shared" ref="C1233:C1262" si="79">"42"</f>
        <v>42</v>
      </c>
      <c r="D1233" s="5" t="str">
        <f>"01"</f>
        <v>01</v>
      </c>
      <c r="E1233" s="6">
        <v>112.5</v>
      </c>
      <c r="F1233" s="6">
        <v>104.9</v>
      </c>
      <c r="G1233" s="6">
        <v>72.4666666666667</v>
      </c>
      <c r="H1233" s="6" t="s">
        <v>9</v>
      </c>
    </row>
    <row r="1234" ht="20.1" customHeight="1" spans="1:8">
      <c r="A1234" s="5" t="str">
        <f t="shared" si="78"/>
        <v>221013</v>
      </c>
      <c r="B1234" s="5" t="str">
        <f>"2022114202"</f>
        <v>2022114202</v>
      </c>
      <c r="C1234" s="5" t="str">
        <f t="shared" si="79"/>
        <v>42</v>
      </c>
      <c r="D1234" s="5" t="str">
        <f>"02"</f>
        <v>02</v>
      </c>
      <c r="E1234" s="6">
        <v>0</v>
      </c>
      <c r="F1234" s="6">
        <v>0</v>
      </c>
      <c r="G1234" s="6">
        <v>0</v>
      </c>
      <c r="H1234" s="6" t="s">
        <v>10</v>
      </c>
    </row>
    <row r="1235" ht="20.1" customHeight="1" spans="1:8">
      <c r="A1235" s="5" t="str">
        <f t="shared" si="78"/>
        <v>221013</v>
      </c>
      <c r="B1235" s="5" t="str">
        <f>"2022114203"</f>
        <v>2022114203</v>
      </c>
      <c r="C1235" s="5" t="str">
        <f t="shared" si="79"/>
        <v>42</v>
      </c>
      <c r="D1235" s="5" t="str">
        <f>"03"</f>
        <v>03</v>
      </c>
      <c r="E1235" s="6">
        <v>118.5</v>
      </c>
      <c r="F1235" s="6">
        <v>100.6</v>
      </c>
      <c r="G1235" s="6">
        <v>73.0333333333333</v>
      </c>
      <c r="H1235" s="6" t="s">
        <v>9</v>
      </c>
    </row>
    <row r="1236" ht="20.1" customHeight="1" spans="1:8">
      <c r="A1236" s="5" t="str">
        <f t="shared" si="78"/>
        <v>221013</v>
      </c>
      <c r="B1236" s="5" t="str">
        <f>"2022114204"</f>
        <v>2022114204</v>
      </c>
      <c r="C1236" s="5" t="str">
        <f t="shared" si="79"/>
        <v>42</v>
      </c>
      <c r="D1236" s="5" t="str">
        <f>"04"</f>
        <v>04</v>
      </c>
      <c r="E1236" s="6">
        <v>123</v>
      </c>
      <c r="F1236" s="6">
        <v>112.1</v>
      </c>
      <c r="G1236" s="6">
        <v>78.3666666666667</v>
      </c>
      <c r="H1236" s="6" t="s">
        <v>9</v>
      </c>
    </row>
    <row r="1237" ht="20.1" customHeight="1" spans="1:8">
      <c r="A1237" s="5" t="str">
        <f t="shared" si="78"/>
        <v>221013</v>
      </c>
      <c r="B1237" s="5" t="str">
        <f>"2022114205"</f>
        <v>2022114205</v>
      </c>
      <c r="C1237" s="5" t="str">
        <f t="shared" si="79"/>
        <v>42</v>
      </c>
      <c r="D1237" s="5" t="str">
        <f>"05"</f>
        <v>05</v>
      </c>
      <c r="E1237" s="6">
        <v>123</v>
      </c>
      <c r="F1237" s="6">
        <v>113.4</v>
      </c>
      <c r="G1237" s="6">
        <v>78.8</v>
      </c>
      <c r="H1237" s="6" t="s">
        <v>9</v>
      </c>
    </row>
    <row r="1238" ht="20.1" customHeight="1" spans="1:8">
      <c r="A1238" s="5" t="str">
        <f t="shared" si="78"/>
        <v>221013</v>
      </c>
      <c r="B1238" s="5" t="str">
        <f>"2022114206"</f>
        <v>2022114206</v>
      </c>
      <c r="C1238" s="5" t="str">
        <f t="shared" si="79"/>
        <v>42</v>
      </c>
      <c r="D1238" s="5" t="str">
        <f>"06"</f>
        <v>06</v>
      </c>
      <c r="E1238" s="6">
        <v>0</v>
      </c>
      <c r="F1238" s="6">
        <v>0</v>
      </c>
      <c r="G1238" s="6">
        <v>0</v>
      </c>
      <c r="H1238" s="6" t="s">
        <v>10</v>
      </c>
    </row>
    <row r="1239" ht="20.1" customHeight="1" spans="1:8">
      <c r="A1239" s="5" t="str">
        <f t="shared" si="78"/>
        <v>221013</v>
      </c>
      <c r="B1239" s="5" t="str">
        <f>"2022114207"</f>
        <v>2022114207</v>
      </c>
      <c r="C1239" s="5" t="str">
        <f t="shared" si="79"/>
        <v>42</v>
      </c>
      <c r="D1239" s="5" t="str">
        <f>"07"</f>
        <v>07</v>
      </c>
      <c r="E1239" s="6">
        <v>126</v>
      </c>
      <c r="F1239" s="6">
        <v>109.6</v>
      </c>
      <c r="G1239" s="6">
        <v>78.5333333333333</v>
      </c>
      <c r="H1239" s="6" t="s">
        <v>9</v>
      </c>
    </row>
    <row r="1240" ht="20.1" customHeight="1" spans="1:8">
      <c r="A1240" s="5" t="str">
        <f t="shared" si="78"/>
        <v>221013</v>
      </c>
      <c r="B1240" s="5" t="str">
        <f>"2022114208"</f>
        <v>2022114208</v>
      </c>
      <c r="C1240" s="5" t="str">
        <f t="shared" si="79"/>
        <v>42</v>
      </c>
      <c r="D1240" s="5" t="str">
        <f>"08"</f>
        <v>08</v>
      </c>
      <c r="E1240" s="6">
        <v>0</v>
      </c>
      <c r="F1240" s="6">
        <v>0</v>
      </c>
      <c r="G1240" s="6">
        <v>0</v>
      </c>
      <c r="H1240" s="6" t="s">
        <v>10</v>
      </c>
    </row>
    <row r="1241" ht="20.1" customHeight="1" spans="1:8">
      <c r="A1241" s="5" t="str">
        <f t="shared" si="78"/>
        <v>221013</v>
      </c>
      <c r="B1241" s="5" t="str">
        <f>"2022114209"</f>
        <v>2022114209</v>
      </c>
      <c r="C1241" s="5" t="str">
        <f t="shared" si="79"/>
        <v>42</v>
      </c>
      <c r="D1241" s="5" t="str">
        <f>"09"</f>
        <v>09</v>
      </c>
      <c r="E1241" s="6">
        <v>100.5</v>
      </c>
      <c r="F1241" s="6">
        <v>107.6</v>
      </c>
      <c r="G1241" s="6">
        <v>69.3666666666667</v>
      </c>
      <c r="H1241" s="6" t="s">
        <v>9</v>
      </c>
    </row>
    <row r="1242" ht="20.1" customHeight="1" spans="1:8">
      <c r="A1242" s="5" t="str">
        <f t="shared" si="78"/>
        <v>221013</v>
      </c>
      <c r="B1242" s="5" t="str">
        <f>"2022114210"</f>
        <v>2022114210</v>
      </c>
      <c r="C1242" s="5" t="str">
        <f t="shared" si="79"/>
        <v>42</v>
      </c>
      <c r="D1242" s="5" t="str">
        <f>"10"</f>
        <v>10</v>
      </c>
      <c r="E1242" s="6">
        <v>0</v>
      </c>
      <c r="F1242" s="6">
        <v>0</v>
      </c>
      <c r="G1242" s="6">
        <v>0</v>
      </c>
      <c r="H1242" s="6" t="s">
        <v>10</v>
      </c>
    </row>
    <row r="1243" ht="20.1" customHeight="1" spans="1:8">
      <c r="A1243" s="5" t="str">
        <f t="shared" si="78"/>
        <v>221013</v>
      </c>
      <c r="B1243" s="5" t="str">
        <f>"2022114211"</f>
        <v>2022114211</v>
      </c>
      <c r="C1243" s="5" t="str">
        <f t="shared" si="79"/>
        <v>42</v>
      </c>
      <c r="D1243" s="5" t="str">
        <f>"11"</f>
        <v>11</v>
      </c>
      <c r="E1243" s="6">
        <v>0</v>
      </c>
      <c r="F1243" s="6">
        <v>0</v>
      </c>
      <c r="G1243" s="6">
        <v>0</v>
      </c>
      <c r="H1243" s="6" t="s">
        <v>10</v>
      </c>
    </row>
    <row r="1244" ht="20.1" customHeight="1" spans="1:8">
      <c r="A1244" s="5" t="str">
        <f t="shared" si="78"/>
        <v>221013</v>
      </c>
      <c r="B1244" s="5" t="str">
        <f>"2022114212"</f>
        <v>2022114212</v>
      </c>
      <c r="C1244" s="5" t="str">
        <f t="shared" si="79"/>
        <v>42</v>
      </c>
      <c r="D1244" s="5" t="str">
        <f>"12"</f>
        <v>12</v>
      </c>
      <c r="E1244" s="6">
        <v>132</v>
      </c>
      <c r="F1244" s="6">
        <v>111</v>
      </c>
      <c r="G1244" s="6">
        <v>81</v>
      </c>
      <c r="H1244" s="7" t="s">
        <v>11</v>
      </c>
    </row>
    <row r="1245" ht="20.1" customHeight="1" spans="1:8">
      <c r="A1245" s="5" t="str">
        <f t="shared" si="78"/>
        <v>221013</v>
      </c>
      <c r="B1245" s="5" t="str">
        <f>"2022114213"</f>
        <v>2022114213</v>
      </c>
      <c r="C1245" s="5" t="str">
        <f t="shared" si="79"/>
        <v>42</v>
      </c>
      <c r="D1245" s="5" t="str">
        <f>"13"</f>
        <v>13</v>
      </c>
      <c r="E1245" s="6">
        <v>0</v>
      </c>
      <c r="F1245" s="6">
        <v>0</v>
      </c>
      <c r="G1245" s="6">
        <v>0</v>
      </c>
      <c r="H1245" s="6" t="s">
        <v>10</v>
      </c>
    </row>
    <row r="1246" ht="20.1" customHeight="1" spans="1:8">
      <c r="A1246" s="5" t="str">
        <f t="shared" si="78"/>
        <v>221013</v>
      </c>
      <c r="B1246" s="5" t="str">
        <f>"2022114214"</f>
        <v>2022114214</v>
      </c>
      <c r="C1246" s="5" t="str">
        <f t="shared" si="79"/>
        <v>42</v>
      </c>
      <c r="D1246" s="5" t="str">
        <f>"14"</f>
        <v>14</v>
      </c>
      <c r="E1246" s="6">
        <v>121.5</v>
      </c>
      <c r="F1246" s="6">
        <v>105.7</v>
      </c>
      <c r="G1246" s="6">
        <v>75.7333333333333</v>
      </c>
      <c r="H1246" s="6" t="s">
        <v>9</v>
      </c>
    </row>
    <row r="1247" ht="20.1" customHeight="1" spans="1:8">
      <c r="A1247" s="5" t="str">
        <f t="shared" si="78"/>
        <v>221013</v>
      </c>
      <c r="B1247" s="5" t="str">
        <f>"2022114215"</f>
        <v>2022114215</v>
      </c>
      <c r="C1247" s="5" t="str">
        <f t="shared" si="79"/>
        <v>42</v>
      </c>
      <c r="D1247" s="5" t="str">
        <f>"15"</f>
        <v>15</v>
      </c>
      <c r="E1247" s="6">
        <v>102</v>
      </c>
      <c r="F1247" s="6">
        <v>119.1</v>
      </c>
      <c r="G1247" s="6">
        <v>73.7</v>
      </c>
      <c r="H1247" s="6" t="s">
        <v>9</v>
      </c>
    </row>
    <row r="1248" ht="20.1" customHeight="1" spans="1:8">
      <c r="A1248" s="5" t="str">
        <f t="shared" si="78"/>
        <v>221013</v>
      </c>
      <c r="B1248" s="5" t="str">
        <f>"2022114216"</f>
        <v>2022114216</v>
      </c>
      <c r="C1248" s="5" t="str">
        <f t="shared" si="79"/>
        <v>42</v>
      </c>
      <c r="D1248" s="5" t="str">
        <f>"16"</f>
        <v>16</v>
      </c>
      <c r="E1248" s="6">
        <v>108</v>
      </c>
      <c r="F1248" s="6">
        <v>113.6</v>
      </c>
      <c r="G1248" s="6">
        <v>73.8666666666667</v>
      </c>
      <c r="H1248" s="6" t="s">
        <v>9</v>
      </c>
    </row>
    <row r="1249" ht="20.1" customHeight="1" spans="1:8">
      <c r="A1249" s="5" t="str">
        <f t="shared" si="78"/>
        <v>221013</v>
      </c>
      <c r="B1249" s="5" t="str">
        <f>"2022114217"</f>
        <v>2022114217</v>
      </c>
      <c r="C1249" s="5" t="str">
        <f t="shared" si="79"/>
        <v>42</v>
      </c>
      <c r="D1249" s="5" t="str">
        <f>"17"</f>
        <v>17</v>
      </c>
      <c r="E1249" s="6">
        <v>121.5</v>
      </c>
      <c r="F1249" s="6">
        <v>121</v>
      </c>
      <c r="G1249" s="6">
        <v>80.8333333333333</v>
      </c>
      <c r="H1249" s="7" t="s">
        <v>11</v>
      </c>
    </row>
    <row r="1250" ht="20.1" customHeight="1" spans="1:8">
      <c r="A1250" s="5" t="str">
        <f t="shared" si="78"/>
        <v>221013</v>
      </c>
      <c r="B1250" s="5" t="str">
        <f>"2022114218"</f>
        <v>2022114218</v>
      </c>
      <c r="C1250" s="5" t="str">
        <f t="shared" si="79"/>
        <v>42</v>
      </c>
      <c r="D1250" s="5" t="str">
        <f>"18"</f>
        <v>18</v>
      </c>
      <c r="E1250" s="6">
        <v>129</v>
      </c>
      <c r="F1250" s="6">
        <v>104.9</v>
      </c>
      <c r="G1250" s="6">
        <v>77.9666666666667</v>
      </c>
      <c r="H1250" s="6" t="s">
        <v>9</v>
      </c>
    </row>
    <row r="1251" ht="20.1" customHeight="1" spans="1:8">
      <c r="A1251" s="5" t="str">
        <f t="shared" si="78"/>
        <v>221013</v>
      </c>
      <c r="B1251" s="5" t="str">
        <f>"2022114219"</f>
        <v>2022114219</v>
      </c>
      <c r="C1251" s="5" t="str">
        <f t="shared" si="79"/>
        <v>42</v>
      </c>
      <c r="D1251" s="5" t="str">
        <f>"19"</f>
        <v>19</v>
      </c>
      <c r="E1251" s="6">
        <v>118.5</v>
      </c>
      <c r="F1251" s="6">
        <v>112.4</v>
      </c>
      <c r="G1251" s="6">
        <v>76.9666666666667</v>
      </c>
      <c r="H1251" s="6" t="s">
        <v>9</v>
      </c>
    </row>
    <row r="1252" ht="20.1" customHeight="1" spans="1:8">
      <c r="A1252" s="5" t="str">
        <f t="shared" si="78"/>
        <v>221013</v>
      </c>
      <c r="B1252" s="5" t="str">
        <f>"2022114220"</f>
        <v>2022114220</v>
      </c>
      <c r="C1252" s="5" t="str">
        <f t="shared" si="79"/>
        <v>42</v>
      </c>
      <c r="D1252" s="5" t="str">
        <f>"20"</f>
        <v>20</v>
      </c>
      <c r="E1252" s="6">
        <v>109.5</v>
      </c>
      <c r="F1252" s="6">
        <v>109.5</v>
      </c>
      <c r="G1252" s="6">
        <v>73</v>
      </c>
      <c r="H1252" s="6" t="s">
        <v>9</v>
      </c>
    </row>
    <row r="1253" ht="20.1" customHeight="1" spans="1:8">
      <c r="A1253" s="5" t="str">
        <f t="shared" si="78"/>
        <v>221013</v>
      </c>
      <c r="B1253" s="5" t="str">
        <f>"2022114221"</f>
        <v>2022114221</v>
      </c>
      <c r="C1253" s="5" t="str">
        <f t="shared" si="79"/>
        <v>42</v>
      </c>
      <c r="D1253" s="5" t="str">
        <f>"21"</f>
        <v>21</v>
      </c>
      <c r="E1253" s="6">
        <v>0</v>
      </c>
      <c r="F1253" s="6">
        <v>0</v>
      </c>
      <c r="G1253" s="6">
        <v>0</v>
      </c>
      <c r="H1253" s="6" t="s">
        <v>10</v>
      </c>
    </row>
    <row r="1254" ht="20.1" customHeight="1" spans="1:8">
      <c r="A1254" s="5" t="str">
        <f t="shared" si="78"/>
        <v>221013</v>
      </c>
      <c r="B1254" s="5" t="str">
        <f>"2022114222"</f>
        <v>2022114222</v>
      </c>
      <c r="C1254" s="5" t="str">
        <f t="shared" si="79"/>
        <v>42</v>
      </c>
      <c r="D1254" s="5" t="str">
        <f>"22"</f>
        <v>22</v>
      </c>
      <c r="E1254" s="6">
        <v>0</v>
      </c>
      <c r="F1254" s="6">
        <v>0</v>
      </c>
      <c r="G1254" s="6">
        <v>0</v>
      </c>
      <c r="H1254" s="6" t="s">
        <v>10</v>
      </c>
    </row>
    <row r="1255" ht="20.1" customHeight="1" spans="1:8">
      <c r="A1255" s="5" t="str">
        <f t="shared" si="78"/>
        <v>221013</v>
      </c>
      <c r="B1255" s="5" t="str">
        <f>"2022114223"</f>
        <v>2022114223</v>
      </c>
      <c r="C1255" s="5" t="str">
        <f t="shared" si="79"/>
        <v>42</v>
      </c>
      <c r="D1255" s="5" t="str">
        <f>"23"</f>
        <v>23</v>
      </c>
      <c r="E1255" s="6">
        <v>121.5</v>
      </c>
      <c r="F1255" s="6">
        <v>108.4</v>
      </c>
      <c r="G1255" s="6">
        <v>76.6333333333333</v>
      </c>
      <c r="H1255" s="6" t="s">
        <v>9</v>
      </c>
    </row>
    <row r="1256" ht="20.1" customHeight="1" spans="1:8">
      <c r="A1256" s="5" t="str">
        <f t="shared" si="78"/>
        <v>221013</v>
      </c>
      <c r="B1256" s="5" t="str">
        <f>"2022114224"</f>
        <v>2022114224</v>
      </c>
      <c r="C1256" s="5" t="str">
        <f t="shared" si="79"/>
        <v>42</v>
      </c>
      <c r="D1256" s="5" t="str">
        <f>"24"</f>
        <v>24</v>
      </c>
      <c r="E1256" s="6">
        <v>118.5</v>
      </c>
      <c r="F1256" s="6">
        <v>115.7</v>
      </c>
      <c r="G1256" s="6">
        <v>78.0666666666667</v>
      </c>
      <c r="H1256" s="6" t="s">
        <v>9</v>
      </c>
    </row>
    <row r="1257" ht="20.1" customHeight="1" spans="1:8">
      <c r="A1257" s="5" t="str">
        <f t="shared" si="78"/>
        <v>221013</v>
      </c>
      <c r="B1257" s="5" t="str">
        <f>"2022114225"</f>
        <v>2022114225</v>
      </c>
      <c r="C1257" s="5" t="str">
        <f t="shared" si="79"/>
        <v>42</v>
      </c>
      <c r="D1257" s="5" t="str">
        <f>"25"</f>
        <v>25</v>
      </c>
      <c r="E1257" s="6">
        <v>91.5</v>
      </c>
      <c r="F1257" s="6">
        <v>105</v>
      </c>
      <c r="G1257" s="6">
        <v>65.5</v>
      </c>
      <c r="H1257" s="6" t="s">
        <v>9</v>
      </c>
    </row>
    <row r="1258" ht="20.1" customHeight="1" spans="1:8">
      <c r="A1258" s="5" t="str">
        <f t="shared" si="78"/>
        <v>221013</v>
      </c>
      <c r="B1258" s="5" t="str">
        <f>"2022114226"</f>
        <v>2022114226</v>
      </c>
      <c r="C1258" s="5" t="str">
        <f t="shared" si="79"/>
        <v>42</v>
      </c>
      <c r="D1258" s="5" t="str">
        <f>"26"</f>
        <v>26</v>
      </c>
      <c r="E1258" s="6">
        <v>111</v>
      </c>
      <c r="F1258" s="6">
        <v>98.3</v>
      </c>
      <c r="G1258" s="6">
        <v>69.7666666666667</v>
      </c>
      <c r="H1258" s="6" t="s">
        <v>9</v>
      </c>
    </row>
    <row r="1259" ht="20.1" customHeight="1" spans="1:8">
      <c r="A1259" s="5" t="str">
        <f t="shared" si="78"/>
        <v>221013</v>
      </c>
      <c r="B1259" s="5" t="str">
        <f>"2022114227"</f>
        <v>2022114227</v>
      </c>
      <c r="C1259" s="5" t="str">
        <f t="shared" si="79"/>
        <v>42</v>
      </c>
      <c r="D1259" s="5" t="str">
        <f>"27"</f>
        <v>27</v>
      </c>
      <c r="E1259" s="6">
        <v>0</v>
      </c>
      <c r="F1259" s="6">
        <v>0</v>
      </c>
      <c r="G1259" s="6">
        <v>0</v>
      </c>
      <c r="H1259" s="6" t="s">
        <v>10</v>
      </c>
    </row>
    <row r="1260" ht="20.1" customHeight="1" spans="1:8">
      <c r="A1260" s="5" t="str">
        <f t="shared" si="78"/>
        <v>221013</v>
      </c>
      <c r="B1260" s="5" t="str">
        <f>"2022114228"</f>
        <v>2022114228</v>
      </c>
      <c r="C1260" s="5" t="str">
        <f t="shared" si="79"/>
        <v>42</v>
      </c>
      <c r="D1260" s="5" t="str">
        <f>"28"</f>
        <v>28</v>
      </c>
      <c r="E1260" s="6">
        <v>117</v>
      </c>
      <c r="F1260" s="6">
        <v>110.6</v>
      </c>
      <c r="G1260" s="6">
        <v>75.8666666666667</v>
      </c>
      <c r="H1260" s="6" t="s">
        <v>9</v>
      </c>
    </row>
    <row r="1261" ht="20.1" customHeight="1" spans="1:8">
      <c r="A1261" s="5" t="str">
        <f t="shared" si="78"/>
        <v>221013</v>
      </c>
      <c r="B1261" s="5" t="str">
        <f>"2022114229"</f>
        <v>2022114229</v>
      </c>
      <c r="C1261" s="5" t="str">
        <f t="shared" si="79"/>
        <v>42</v>
      </c>
      <c r="D1261" s="5" t="str">
        <f>"29"</f>
        <v>29</v>
      </c>
      <c r="E1261" s="6">
        <v>109.5</v>
      </c>
      <c r="F1261" s="6">
        <v>48.8</v>
      </c>
      <c r="G1261" s="6">
        <v>52.7666666666667</v>
      </c>
      <c r="H1261" s="6" t="s">
        <v>9</v>
      </c>
    </row>
    <row r="1262" ht="20.1" customHeight="1" spans="1:8">
      <c r="A1262" s="5" t="str">
        <f t="shared" si="78"/>
        <v>221013</v>
      </c>
      <c r="B1262" s="5" t="str">
        <f>"2022114230"</f>
        <v>2022114230</v>
      </c>
      <c r="C1262" s="5" t="str">
        <f t="shared" si="79"/>
        <v>42</v>
      </c>
      <c r="D1262" s="5" t="str">
        <f>"30"</f>
        <v>30</v>
      </c>
      <c r="E1262" s="6">
        <v>117</v>
      </c>
      <c r="F1262" s="6">
        <v>100.5</v>
      </c>
      <c r="G1262" s="6">
        <v>72.5</v>
      </c>
      <c r="H1262" s="6" t="s">
        <v>9</v>
      </c>
    </row>
    <row r="1263" ht="20.1" customHeight="1" spans="1:8">
      <c r="A1263" s="5" t="str">
        <f t="shared" si="78"/>
        <v>221013</v>
      </c>
      <c r="B1263" s="5" t="str">
        <f>"2022114301"</f>
        <v>2022114301</v>
      </c>
      <c r="C1263" s="5" t="str">
        <f t="shared" ref="C1263:C1293" si="80">"43"</f>
        <v>43</v>
      </c>
      <c r="D1263" s="5" t="str">
        <f>"01"</f>
        <v>01</v>
      </c>
      <c r="E1263" s="6">
        <v>118.5</v>
      </c>
      <c r="F1263" s="6">
        <v>108.8</v>
      </c>
      <c r="G1263" s="6">
        <v>75.7666666666667</v>
      </c>
      <c r="H1263" s="6" t="s">
        <v>9</v>
      </c>
    </row>
    <row r="1264" ht="20.1" customHeight="1" spans="1:8">
      <c r="A1264" s="5" t="str">
        <f t="shared" si="78"/>
        <v>221013</v>
      </c>
      <c r="B1264" s="5" t="str">
        <f>"2022114302"</f>
        <v>2022114302</v>
      </c>
      <c r="C1264" s="5" t="str">
        <f t="shared" si="80"/>
        <v>43</v>
      </c>
      <c r="D1264" s="5" t="str">
        <f>"02"</f>
        <v>02</v>
      </c>
      <c r="E1264" s="6">
        <v>127.5</v>
      </c>
      <c r="F1264" s="6">
        <v>113.8</v>
      </c>
      <c r="G1264" s="6">
        <v>80.4333333333333</v>
      </c>
      <c r="H1264" s="7" t="s">
        <v>11</v>
      </c>
    </row>
    <row r="1265" ht="20.1" customHeight="1" spans="1:8">
      <c r="A1265" s="5" t="str">
        <f t="shared" si="78"/>
        <v>221013</v>
      </c>
      <c r="B1265" s="5" t="str">
        <f>"2022114303"</f>
        <v>2022114303</v>
      </c>
      <c r="C1265" s="5" t="str">
        <f t="shared" si="80"/>
        <v>43</v>
      </c>
      <c r="D1265" s="5" t="str">
        <f>"03"</f>
        <v>03</v>
      </c>
      <c r="E1265" s="6">
        <v>106.5</v>
      </c>
      <c r="F1265" s="6">
        <v>105.8</v>
      </c>
      <c r="G1265" s="6">
        <v>70.7666666666667</v>
      </c>
      <c r="H1265" s="6" t="s">
        <v>9</v>
      </c>
    </row>
    <row r="1266" ht="20.1" customHeight="1" spans="1:8">
      <c r="A1266" s="5" t="str">
        <f t="shared" si="78"/>
        <v>221013</v>
      </c>
      <c r="B1266" s="5" t="str">
        <f>"2022114304"</f>
        <v>2022114304</v>
      </c>
      <c r="C1266" s="5" t="str">
        <f t="shared" si="80"/>
        <v>43</v>
      </c>
      <c r="D1266" s="5" t="str">
        <f>"04"</f>
        <v>04</v>
      </c>
      <c r="E1266" s="6">
        <v>115.5</v>
      </c>
      <c r="F1266" s="6">
        <v>96.2</v>
      </c>
      <c r="G1266" s="6">
        <v>70.5666666666667</v>
      </c>
      <c r="H1266" s="6" t="s">
        <v>9</v>
      </c>
    </row>
    <row r="1267" ht="20.1" customHeight="1" spans="1:8">
      <c r="A1267" s="5" t="str">
        <f t="shared" si="78"/>
        <v>221013</v>
      </c>
      <c r="B1267" s="5" t="str">
        <f>"2022114305"</f>
        <v>2022114305</v>
      </c>
      <c r="C1267" s="5" t="str">
        <f t="shared" si="80"/>
        <v>43</v>
      </c>
      <c r="D1267" s="5" t="str">
        <f>"05"</f>
        <v>05</v>
      </c>
      <c r="E1267" s="6">
        <v>106.5</v>
      </c>
      <c r="F1267" s="6">
        <v>112.3</v>
      </c>
      <c r="G1267" s="6">
        <v>72.9333333333333</v>
      </c>
      <c r="H1267" s="6" t="s">
        <v>9</v>
      </c>
    </row>
    <row r="1268" ht="20.1" customHeight="1" spans="1:8">
      <c r="A1268" s="5" t="str">
        <f t="shared" si="78"/>
        <v>221013</v>
      </c>
      <c r="B1268" s="5" t="str">
        <f>"2022114306"</f>
        <v>2022114306</v>
      </c>
      <c r="C1268" s="5" t="str">
        <f t="shared" si="80"/>
        <v>43</v>
      </c>
      <c r="D1268" s="5" t="str">
        <f>"06"</f>
        <v>06</v>
      </c>
      <c r="E1268" s="6">
        <v>78</v>
      </c>
      <c r="F1268" s="6">
        <v>109.4</v>
      </c>
      <c r="G1268" s="6">
        <v>62.4666666666667</v>
      </c>
      <c r="H1268" s="6" t="s">
        <v>9</v>
      </c>
    </row>
    <row r="1269" ht="20.1" customHeight="1" spans="1:8">
      <c r="A1269" s="5" t="str">
        <f t="shared" ref="A1269:A1300" si="81">"221014"</f>
        <v>221014</v>
      </c>
      <c r="B1269" s="5" t="str">
        <f>"2022114307"</f>
        <v>2022114307</v>
      </c>
      <c r="C1269" s="5" t="str">
        <f t="shared" si="80"/>
        <v>43</v>
      </c>
      <c r="D1269" s="5" t="str">
        <f>"07"</f>
        <v>07</v>
      </c>
      <c r="E1269" s="6">
        <v>117</v>
      </c>
      <c r="F1269" s="6">
        <v>111.8</v>
      </c>
      <c r="G1269" s="6">
        <v>76.2666666666667</v>
      </c>
      <c r="H1269" s="6" t="s">
        <v>9</v>
      </c>
    </row>
    <row r="1270" ht="20.1" customHeight="1" spans="1:8">
      <c r="A1270" s="5" t="str">
        <f t="shared" si="81"/>
        <v>221014</v>
      </c>
      <c r="B1270" s="5" t="str">
        <f>"2022114308"</f>
        <v>2022114308</v>
      </c>
      <c r="C1270" s="5" t="str">
        <f t="shared" si="80"/>
        <v>43</v>
      </c>
      <c r="D1270" s="5" t="str">
        <f>"08"</f>
        <v>08</v>
      </c>
      <c r="E1270" s="6">
        <v>108</v>
      </c>
      <c r="F1270" s="6">
        <v>104.9</v>
      </c>
      <c r="G1270" s="6">
        <v>70.9666666666667</v>
      </c>
      <c r="H1270" s="6" t="s">
        <v>9</v>
      </c>
    </row>
    <row r="1271" ht="20.1" customHeight="1" spans="1:8">
      <c r="A1271" s="5" t="str">
        <f t="shared" si="81"/>
        <v>221014</v>
      </c>
      <c r="B1271" s="5" t="str">
        <f>"2022114309"</f>
        <v>2022114309</v>
      </c>
      <c r="C1271" s="5" t="str">
        <f t="shared" si="80"/>
        <v>43</v>
      </c>
      <c r="D1271" s="5" t="str">
        <f>"09"</f>
        <v>09</v>
      </c>
      <c r="E1271" s="6">
        <v>115.5</v>
      </c>
      <c r="F1271" s="6">
        <v>60.2</v>
      </c>
      <c r="G1271" s="6">
        <v>58.5666666666667</v>
      </c>
      <c r="H1271" s="6" t="s">
        <v>9</v>
      </c>
    </row>
    <row r="1272" ht="20.1" customHeight="1" spans="1:8">
      <c r="A1272" s="5" t="str">
        <f t="shared" si="81"/>
        <v>221014</v>
      </c>
      <c r="B1272" s="5" t="str">
        <f>"2022114310"</f>
        <v>2022114310</v>
      </c>
      <c r="C1272" s="5" t="str">
        <f t="shared" si="80"/>
        <v>43</v>
      </c>
      <c r="D1272" s="5" t="str">
        <f>"10"</f>
        <v>10</v>
      </c>
      <c r="E1272" s="6">
        <v>109.5</v>
      </c>
      <c r="F1272" s="6">
        <v>104.1</v>
      </c>
      <c r="G1272" s="6">
        <v>71.2</v>
      </c>
      <c r="H1272" s="6" t="s">
        <v>9</v>
      </c>
    </row>
    <row r="1273" ht="20.1" customHeight="1" spans="1:8">
      <c r="A1273" s="5" t="str">
        <f t="shared" si="81"/>
        <v>221014</v>
      </c>
      <c r="B1273" s="5" t="str">
        <f>"2022114311"</f>
        <v>2022114311</v>
      </c>
      <c r="C1273" s="5" t="str">
        <f t="shared" si="80"/>
        <v>43</v>
      </c>
      <c r="D1273" s="5" t="str">
        <f>"11"</f>
        <v>11</v>
      </c>
      <c r="E1273" s="6">
        <v>0</v>
      </c>
      <c r="F1273" s="6">
        <v>0</v>
      </c>
      <c r="G1273" s="6">
        <v>0</v>
      </c>
      <c r="H1273" s="6" t="s">
        <v>10</v>
      </c>
    </row>
    <row r="1274" ht="20.1" customHeight="1" spans="1:8">
      <c r="A1274" s="5" t="str">
        <f t="shared" si="81"/>
        <v>221014</v>
      </c>
      <c r="B1274" s="5" t="str">
        <f>"2022114312"</f>
        <v>2022114312</v>
      </c>
      <c r="C1274" s="5" t="str">
        <f t="shared" si="80"/>
        <v>43</v>
      </c>
      <c r="D1274" s="5" t="str">
        <f>"12"</f>
        <v>12</v>
      </c>
      <c r="E1274" s="6">
        <v>0</v>
      </c>
      <c r="F1274" s="6">
        <v>0</v>
      </c>
      <c r="G1274" s="6">
        <v>0</v>
      </c>
      <c r="H1274" s="6" t="s">
        <v>10</v>
      </c>
    </row>
    <row r="1275" ht="20.1" customHeight="1" spans="1:8">
      <c r="A1275" s="5" t="str">
        <f t="shared" si="81"/>
        <v>221014</v>
      </c>
      <c r="B1275" s="5" t="str">
        <f>"2022114313"</f>
        <v>2022114313</v>
      </c>
      <c r="C1275" s="5" t="str">
        <f t="shared" si="80"/>
        <v>43</v>
      </c>
      <c r="D1275" s="5" t="str">
        <f>"13"</f>
        <v>13</v>
      </c>
      <c r="E1275" s="6">
        <v>79.5</v>
      </c>
      <c r="F1275" s="6">
        <v>100.3</v>
      </c>
      <c r="G1275" s="6">
        <v>59.9333333333333</v>
      </c>
      <c r="H1275" s="6" t="s">
        <v>9</v>
      </c>
    </row>
    <row r="1276" ht="20.1" customHeight="1" spans="1:8">
      <c r="A1276" s="5" t="str">
        <f t="shared" si="81"/>
        <v>221014</v>
      </c>
      <c r="B1276" s="5" t="str">
        <f>"2022114314"</f>
        <v>2022114314</v>
      </c>
      <c r="C1276" s="5" t="str">
        <f t="shared" si="80"/>
        <v>43</v>
      </c>
      <c r="D1276" s="5" t="str">
        <f>"14"</f>
        <v>14</v>
      </c>
      <c r="E1276" s="6">
        <v>99</v>
      </c>
      <c r="F1276" s="6">
        <v>115.3</v>
      </c>
      <c r="G1276" s="6">
        <v>71.4333333333333</v>
      </c>
      <c r="H1276" s="6" t="s">
        <v>9</v>
      </c>
    </row>
    <row r="1277" ht="20.1" customHeight="1" spans="1:8">
      <c r="A1277" s="5" t="str">
        <f t="shared" si="81"/>
        <v>221014</v>
      </c>
      <c r="B1277" s="5" t="str">
        <f>"2022114315"</f>
        <v>2022114315</v>
      </c>
      <c r="C1277" s="5" t="str">
        <f t="shared" si="80"/>
        <v>43</v>
      </c>
      <c r="D1277" s="5" t="str">
        <f>"15"</f>
        <v>15</v>
      </c>
      <c r="E1277" s="6">
        <v>102</v>
      </c>
      <c r="F1277" s="6">
        <v>101.3</v>
      </c>
      <c r="G1277" s="6">
        <v>67.7666666666667</v>
      </c>
      <c r="H1277" s="6" t="s">
        <v>9</v>
      </c>
    </row>
    <row r="1278" ht="20.1" customHeight="1" spans="1:8">
      <c r="A1278" s="5" t="str">
        <f t="shared" si="81"/>
        <v>221014</v>
      </c>
      <c r="B1278" s="5" t="str">
        <f>"2022114316"</f>
        <v>2022114316</v>
      </c>
      <c r="C1278" s="5" t="str">
        <f t="shared" si="80"/>
        <v>43</v>
      </c>
      <c r="D1278" s="5" t="str">
        <f>"16"</f>
        <v>16</v>
      </c>
      <c r="E1278" s="6">
        <v>0</v>
      </c>
      <c r="F1278" s="6">
        <v>0</v>
      </c>
      <c r="G1278" s="6">
        <v>0</v>
      </c>
      <c r="H1278" s="6" t="s">
        <v>10</v>
      </c>
    </row>
    <row r="1279" ht="20.1" customHeight="1" spans="1:8">
      <c r="A1279" s="5" t="str">
        <f t="shared" si="81"/>
        <v>221014</v>
      </c>
      <c r="B1279" s="5" t="str">
        <f>"2022114317"</f>
        <v>2022114317</v>
      </c>
      <c r="C1279" s="5" t="str">
        <f t="shared" si="80"/>
        <v>43</v>
      </c>
      <c r="D1279" s="5" t="str">
        <f>"17"</f>
        <v>17</v>
      </c>
      <c r="E1279" s="6">
        <v>0</v>
      </c>
      <c r="F1279" s="6">
        <v>0</v>
      </c>
      <c r="G1279" s="6">
        <v>0</v>
      </c>
      <c r="H1279" s="6" t="s">
        <v>10</v>
      </c>
    </row>
    <row r="1280" ht="20.1" customHeight="1" spans="1:8">
      <c r="A1280" s="5" t="str">
        <f t="shared" si="81"/>
        <v>221014</v>
      </c>
      <c r="B1280" s="5" t="str">
        <f>"2022114318"</f>
        <v>2022114318</v>
      </c>
      <c r="C1280" s="5" t="str">
        <f t="shared" si="80"/>
        <v>43</v>
      </c>
      <c r="D1280" s="5" t="str">
        <f>"18"</f>
        <v>18</v>
      </c>
      <c r="E1280" s="6">
        <v>0</v>
      </c>
      <c r="F1280" s="6">
        <v>0</v>
      </c>
      <c r="G1280" s="6">
        <v>0</v>
      </c>
      <c r="H1280" s="6" t="s">
        <v>10</v>
      </c>
    </row>
    <row r="1281" ht="20.1" customHeight="1" spans="1:8">
      <c r="A1281" s="5" t="str">
        <f t="shared" si="81"/>
        <v>221014</v>
      </c>
      <c r="B1281" s="5" t="str">
        <f>"2022114319"</f>
        <v>2022114319</v>
      </c>
      <c r="C1281" s="5" t="str">
        <f t="shared" si="80"/>
        <v>43</v>
      </c>
      <c r="D1281" s="5" t="str">
        <f>"19"</f>
        <v>19</v>
      </c>
      <c r="E1281" s="6">
        <v>112.5</v>
      </c>
      <c r="F1281" s="6">
        <v>113.2</v>
      </c>
      <c r="G1281" s="6">
        <v>75.2333333333333</v>
      </c>
      <c r="H1281" s="6" t="s">
        <v>9</v>
      </c>
    </row>
    <row r="1282" ht="20.1" customHeight="1" spans="1:8">
      <c r="A1282" s="5" t="str">
        <f t="shared" si="81"/>
        <v>221014</v>
      </c>
      <c r="B1282" s="5" t="str">
        <f>"2022114320"</f>
        <v>2022114320</v>
      </c>
      <c r="C1282" s="5" t="str">
        <f t="shared" si="80"/>
        <v>43</v>
      </c>
      <c r="D1282" s="5" t="str">
        <f>"20"</f>
        <v>20</v>
      </c>
      <c r="E1282" s="6">
        <v>103.5</v>
      </c>
      <c r="F1282" s="6">
        <v>93.9</v>
      </c>
      <c r="G1282" s="6">
        <v>65.8</v>
      </c>
      <c r="H1282" s="6" t="s">
        <v>9</v>
      </c>
    </row>
    <row r="1283" ht="20.1" customHeight="1" spans="1:8">
      <c r="A1283" s="5" t="str">
        <f t="shared" si="81"/>
        <v>221014</v>
      </c>
      <c r="B1283" s="5" t="str">
        <f>"2022114321"</f>
        <v>2022114321</v>
      </c>
      <c r="C1283" s="5" t="str">
        <f t="shared" si="80"/>
        <v>43</v>
      </c>
      <c r="D1283" s="5" t="str">
        <f>"21"</f>
        <v>21</v>
      </c>
      <c r="E1283" s="6">
        <v>130.5</v>
      </c>
      <c r="F1283" s="6">
        <v>117.4</v>
      </c>
      <c r="G1283" s="6">
        <v>82.6333333333333</v>
      </c>
      <c r="H1283" s="7" t="s">
        <v>11</v>
      </c>
    </row>
    <row r="1284" ht="20.1" customHeight="1" spans="1:8">
      <c r="A1284" s="5" t="str">
        <f t="shared" si="81"/>
        <v>221014</v>
      </c>
      <c r="B1284" s="5" t="str">
        <f>"2022114322"</f>
        <v>2022114322</v>
      </c>
      <c r="C1284" s="5" t="str">
        <f t="shared" si="80"/>
        <v>43</v>
      </c>
      <c r="D1284" s="5" t="str">
        <f>"22"</f>
        <v>22</v>
      </c>
      <c r="E1284" s="6">
        <v>112.5</v>
      </c>
      <c r="F1284" s="6">
        <v>103.1</v>
      </c>
      <c r="G1284" s="6">
        <v>71.8666666666667</v>
      </c>
      <c r="H1284" s="6" t="s">
        <v>9</v>
      </c>
    </row>
    <row r="1285" ht="20.1" customHeight="1" spans="1:8">
      <c r="A1285" s="5" t="str">
        <f t="shared" si="81"/>
        <v>221014</v>
      </c>
      <c r="B1285" s="5" t="str">
        <f>"2022114323"</f>
        <v>2022114323</v>
      </c>
      <c r="C1285" s="5" t="str">
        <f t="shared" si="80"/>
        <v>43</v>
      </c>
      <c r="D1285" s="5" t="str">
        <f>"23"</f>
        <v>23</v>
      </c>
      <c r="E1285" s="6">
        <v>100.5</v>
      </c>
      <c r="F1285" s="6">
        <v>101.9</v>
      </c>
      <c r="G1285" s="6">
        <v>67.4666666666667</v>
      </c>
      <c r="H1285" s="6" t="s">
        <v>9</v>
      </c>
    </row>
    <row r="1286" ht="20.1" customHeight="1" spans="1:8">
      <c r="A1286" s="5" t="str">
        <f t="shared" si="81"/>
        <v>221014</v>
      </c>
      <c r="B1286" s="5" t="str">
        <f>"2022114324"</f>
        <v>2022114324</v>
      </c>
      <c r="C1286" s="5" t="str">
        <f t="shared" si="80"/>
        <v>43</v>
      </c>
      <c r="D1286" s="5" t="str">
        <f>"24"</f>
        <v>24</v>
      </c>
      <c r="E1286" s="6">
        <v>0</v>
      </c>
      <c r="F1286" s="6">
        <v>0</v>
      </c>
      <c r="G1286" s="6">
        <v>0</v>
      </c>
      <c r="H1286" s="6" t="s">
        <v>10</v>
      </c>
    </row>
    <row r="1287" ht="20.1" customHeight="1" spans="1:8">
      <c r="A1287" s="5" t="str">
        <f t="shared" si="81"/>
        <v>221014</v>
      </c>
      <c r="B1287" s="5" t="str">
        <f>"2022114325"</f>
        <v>2022114325</v>
      </c>
      <c r="C1287" s="5" t="str">
        <f t="shared" si="80"/>
        <v>43</v>
      </c>
      <c r="D1287" s="5" t="str">
        <f>"25"</f>
        <v>25</v>
      </c>
      <c r="E1287" s="6">
        <v>0</v>
      </c>
      <c r="F1287" s="6">
        <v>0</v>
      </c>
      <c r="G1287" s="6">
        <v>0</v>
      </c>
      <c r="H1287" s="6" t="s">
        <v>10</v>
      </c>
    </row>
    <row r="1288" ht="20.1" customHeight="1" spans="1:8">
      <c r="A1288" s="5" t="str">
        <f t="shared" si="81"/>
        <v>221014</v>
      </c>
      <c r="B1288" s="5" t="str">
        <f>"2022114326"</f>
        <v>2022114326</v>
      </c>
      <c r="C1288" s="5" t="str">
        <f t="shared" si="80"/>
        <v>43</v>
      </c>
      <c r="D1288" s="5" t="str">
        <f>"26"</f>
        <v>26</v>
      </c>
      <c r="E1288" s="6">
        <v>0</v>
      </c>
      <c r="F1288" s="6">
        <v>0</v>
      </c>
      <c r="G1288" s="6">
        <v>0</v>
      </c>
      <c r="H1288" s="6" t="s">
        <v>10</v>
      </c>
    </row>
    <row r="1289" ht="20.1" customHeight="1" spans="1:8">
      <c r="A1289" s="5" t="str">
        <f t="shared" si="81"/>
        <v>221014</v>
      </c>
      <c r="B1289" s="5" t="str">
        <f>"2022114327"</f>
        <v>2022114327</v>
      </c>
      <c r="C1289" s="5" t="str">
        <f t="shared" si="80"/>
        <v>43</v>
      </c>
      <c r="D1289" s="5" t="str">
        <f>"27"</f>
        <v>27</v>
      </c>
      <c r="E1289" s="6">
        <v>100.5</v>
      </c>
      <c r="F1289" s="6">
        <v>103.8</v>
      </c>
      <c r="G1289" s="6">
        <v>68.1</v>
      </c>
      <c r="H1289" s="6" t="s">
        <v>9</v>
      </c>
    </row>
    <row r="1290" ht="20.1" customHeight="1" spans="1:8">
      <c r="A1290" s="5" t="str">
        <f t="shared" si="81"/>
        <v>221014</v>
      </c>
      <c r="B1290" s="5" t="str">
        <f>"2022114328"</f>
        <v>2022114328</v>
      </c>
      <c r="C1290" s="5" t="str">
        <f t="shared" si="80"/>
        <v>43</v>
      </c>
      <c r="D1290" s="5" t="str">
        <f>"28"</f>
        <v>28</v>
      </c>
      <c r="E1290" s="6">
        <v>112.5</v>
      </c>
      <c r="F1290" s="6">
        <v>100.5</v>
      </c>
      <c r="G1290" s="6">
        <v>71</v>
      </c>
      <c r="H1290" s="6" t="s">
        <v>9</v>
      </c>
    </row>
    <row r="1291" ht="20.1" customHeight="1" spans="1:8">
      <c r="A1291" s="5" t="str">
        <f t="shared" si="81"/>
        <v>221014</v>
      </c>
      <c r="B1291" s="5" t="str">
        <f>"2022114329"</f>
        <v>2022114329</v>
      </c>
      <c r="C1291" s="5" t="str">
        <f t="shared" si="80"/>
        <v>43</v>
      </c>
      <c r="D1291" s="5" t="str">
        <f>"29"</f>
        <v>29</v>
      </c>
      <c r="E1291" s="6">
        <v>0</v>
      </c>
      <c r="F1291" s="6">
        <v>0</v>
      </c>
      <c r="G1291" s="6">
        <v>0</v>
      </c>
      <c r="H1291" s="6" t="s">
        <v>10</v>
      </c>
    </row>
    <row r="1292" ht="20.1" customHeight="1" spans="1:8">
      <c r="A1292" s="5" t="str">
        <f t="shared" si="81"/>
        <v>221014</v>
      </c>
      <c r="B1292" s="5" t="str">
        <f>"2022114330"</f>
        <v>2022114330</v>
      </c>
      <c r="C1292" s="5" t="str">
        <f t="shared" si="80"/>
        <v>43</v>
      </c>
      <c r="D1292" s="5" t="str">
        <f>"30"</f>
        <v>30</v>
      </c>
      <c r="E1292" s="6">
        <v>114</v>
      </c>
      <c r="F1292" s="6">
        <v>111.7</v>
      </c>
      <c r="G1292" s="6">
        <v>75.2333333333333</v>
      </c>
      <c r="H1292" s="6" t="s">
        <v>9</v>
      </c>
    </row>
    <row r="1293" ht="20.1" customHeight="1" spans="1:8">
      <c r="A1293" s="5" t="str">
        <f t="shared" si="81"/>
        <v>221014</v>
      </c>
      <c r="B1293" s="5" t="str">
        <f>"2022114331"</f>
        <v>2022114331</v>
      </c>
      <c r="C1293" s="5" t="str">
        <f t="shared" si="80"/>
        <v>43</v>
      </c>
      <c r="D1293" s="5" t="str">
        <f>"31"</f>
        <v>31</v>
      </c>
      <c r="E1293" s="6">
        <v>117</v>
      </c>
      <c r="F1293" s="6">
        <v>114.6</v>
      </c>
      <c r="G1293" s="6">
        <v>77.2</v>
      </c>
      <c r="H1293" s="6" t="s">
        <v>9</v>
      </c>
    </row>
    <row r="1294" ht="20.1" customHeight="1" spans="1:8">
      <c r="A1294" s="5" t="str">
        <f t="shared" si="81"/>
        <v>221014</v>
      </c>
      <c r="B1294" s="5" t="str">
        <f>"2022114401"</f>
        <v>2022114401</v>
      </c>
      <c r="C1294" s="5" t="str">
        <f t="shared" ref="C1294:C1324" si="82">"44"</f>
        <v>44</v>
      </c>
      <c r="D1294" s="5" t="str">
        <f>"01"</f>
        <v>01</v>
      </c>
      <c r="E1294" s="6">
        <v>0</v>
      </c>
      <c r="F1294" s="6">
        <v>0</v>
      </c>
      <c r="G1294" s="6">
        <v>0</v>
      </c>
      <c r="H1294" s="6" t="s">
        <v>10</v>
      </c>
    </row>
    <row r="1295" ht="20.1" customHeight="1" spans="1:8">
      <c r="A1295" s="5" t="str">
        <f t="shared" si="81"/>
        <v>221014</v>
      </c>
      <c r="B1295" s="5" t="str">
        <f>"2022114402"</f>
        <v>2022114402</v>
      </c>
      <c r="C1295" s="5" t="str">
        <f t="shared" si="82"/>
        <v>44</v>
      </c>
      <c r="D1295" s="5" t="str">
        <f>"02"</f>
        <v>02</v>
      </c>
      <c r="E1295" s="6">
        <v>0</v>
      </c>
      <c r="F1295" s="6">
        <v>0</v>
      </c>
      <c r="G1295" s="6">
        <v>0</v>
      </c>
      <c r="H1295" s="6" t="s">
        <v>10</v>
      </c>
    </row>
    <row r="1296" ht="20.1" customHeight="1" spans="1:8">
      <c r="A1296" s="5" t="str">
        <f t="shared" si="81"/>
        <v>221014</v>
      </c>
      <c r="B1296" s="5" t="str">
        <f>"2022114403"</f>
        <v>2022114403</v>
      </c>
      <c r="C1296" s="5" t="str">
        <f t="shared" si="82"/>
        <v>44</v>
      </c>
      <c r="D1296" s="5" t="str">
        <f>"03"</f>
        <v>03</v>
      </c>
      <c r="E1296" s="6">
        <v>117</v>
      </c>
      <c r="F1296" s="6">
        <v>108.5</v>
      </c>
      <c r="G1296" s="6">
        <v>75.1666666666667</v>
      </c>
      <c r="H1296" s="6" t="s">
        <v>9</v>
      </c>
    </row>
    <row r="1297" ht="20.1" customHeight="1" spans="1:8">
      <c r="A1297" s="5" t="str">
        <f t="shared" si="81"/>
        <v>221014</v>
      </c>
      <c r="B1297" s="5" t="str">
        <f>"2022114404"</f>
        <v>2022114404</v>
      </c>
      <c r="C1297" s="5" t="str">
        <f t="shared" si="82"/>
        <v>44</v>
      </c>
      <c r="D1297" s="5" t="str">
        <f>"04"</f>
        <v>04</v>
      </c>
      <c r="E1297" s="6">
        <v>0</v>
      </c>
      <c r="F1297" s="6">
        <v>0</v>
      </c>
      <c r="G1297" s="6">
        <v>0</v>
      </c>
      <c r="H1297" s="6" t="s">
        <v>10</v>
      </c>
    </row>
    <row r="1298" ht="20.1" customHeight="1" spans="1:8">
      <c r="A1298" s="5" t="str">
        <f t="shared" si="81"/>
        <v>221014</v>
      </c>
      <c r="B1298" s="5" t="str">
        <f>"2022114405"</f>
        <v>2022114405</v>
      </c>
      <c r="C1298" s="5" t="str">
        <f t="shared" si="82"/>
        <v>44</v>
      </c>
      <c r="D1298" s="5" t="str">
        <f>"05"</f>
        <v>05</v>
      </c>
      <c r="E1298" s="6">
        <v>115.5</v>
      </c>
      <c r="F1298" s="6">
        <v>111.9</v>
      </c>
      <c r="G1298" s="6">
        <v>75.8</v>
      </c>
      <c r="H1298" s="6" t="s">
        <v>9</v>
      </c>
    </row>
    <row r="1299" ht="20.1" customHeight="1" spans="1:8">
      <c r="A1299" s="5" t="str">
        <f t="shared" si="81"/>
        <v>221014</v>
      </c>
      <c r="B1299" s="5" t="str">
        <f>"2022114406"</f>
        <v>2022114406</v>
      </c>
      <c r="C1299" s="5" t="str">
        <f t="shared" si="82"/>
        <v>44</v>
      </c>
      <c r="D1299" s="5" t="str">
        <f>"06"</f>
        <v>06</v>
      </c>
      <c r="E1299" s="6">
        <v>0</v>
      </c>
      <c r="F1299" s="6">
        <v>0</v>
      </c>
      <c r="G1299" s="6">
        <v>0</v>
      </c>
      <c r="H1299" s="6" t="s">
        <v>10</v>
      </c>
    </row>
    <row r="1300" ht="20.1" customHeight="1" spans="1:8">
      <c r="A1300" s="5" t="str">
        <f t="shared" si="81"/>
        <v>221014</v>
      </c>
      <c r="B1300" s="5" t="str">
        <f>"2022114407"</f>
        <v>2022114407</v>
      </c>
      <c r="C1300" s="5" t="str">
        <f t="shared" si="82"/>
        <v>44</v>
      </c>
      <c r="D1300" s="5" t="str">
        <f>"07"</f>
        <v>07</v>
      </c>
      <c r="E1300" s="6">
        <v>105</v>
      </c>
      <c r="F1300" s="6">
        <v>106</v>
      </c>
      <c r="G1300" s="6">
        <v>70.3333333333333</v>
      </c>
      <c r="H1300" s="6" t="s">
        <v>9</v>
      </c>
    </row>
    <row r="1301" ht="20.1" customHeight="1" spans="1:8">
      <c r="A1301" s="5" t="str">
        <f t="shared" ref="A1301:A1332" si="83">"221014"</f>
        <v>221014</v>
      </c>
      <c r="B1301" s="5" t="str">
        <f>"2022114408"</f>
        <v>2022114408</v>
      </c>
      <c r="C1301" s="5" t="str">
        <f t="shared" si="82"/>
        <v>44</v>
      </c>
      <c r="D1301" s="5" t="str">
        <f>"08"</f>
        <v>08</v>
      </c>
      <c r="E1301" s="6">
        <v>106.5</v>
      </c>
      <c r="F1301" s="6">
        <v>107</v>
      </c>
      <c r="G1301" s="6">
        <v>71.1666666666667</v>
      </c>
      <c r="H1301" s="6" t="s">
        <v>9</v>
      </c>
    </row>
    <row r="1302" ht="20.1" customHeight="1" spans="1:8">
      <c r="A1302" s="5" t="str">
        <f t="shared" si="83"/>
        <v>221014</v>
      </c>
      <c r="B1302" s="5" t="str">
        <f>"2022114409"</f>
        <v>2022114409</v>
      </c>
      <c r="C1302" s="5" t="str">
        <f t="shared" si="82"/>
        <v>44</v>
      </c>
      <c r="D1302" s="5" t="str">
        <f>"09"</f>
        <v>09</v>
      </c>
      <c r="E1302" s="6">
        <v>111</v>
      </c>
      <c r="F1302" s="6">
        <v>107.8</v>
      </c>
      <c r="G1302" s="6">
        <v>72.9333333333333</v>
      </c>
      <c r="H1302" s="6" t="s">
        <v>9</v>
      </c>
    </row>
    <row r="1303" ht="20.1" customHeight="1" spans="1:8">
      <c r="A1303" s="5" t="str">
        <f t="shared" si="83"/>
        <v>221014</v>
      </c>
      <c r="B1303" s="5" t="str">
        <f>"2022114410"</f>
        <v>2022114410</v>
      </c>
      <c r="C1303" s="5" t="str">
        <f t="shared" si="82"/>
        <v>44</v>
      </c>
      <c r="D1303" s="5" t="str">
        <f>"10"</f>
        <v>10</v>
      </c>
      <c r="E1303" s="6">
        <v>102</v>
      </c>
      <c r="F1303" s="6">
        <v>113</v>
      </c>
      <c r="G1303" s="6">
        <v>71.6666666666667</v>
      </c>
      <c r="H1303" s="6" t="s">
        <v>9</v>
      </c>
    </row>
    <row r="1304" ht="20.1" customHeight="1" spans="1:8">
      <c r="A1304" s="5" t="str">
        <f t="shared" si="83"/>
        <v>221014</v>
      </c>
      <c r="B1304" s="5" t="str">
        <f>"2022114411"</f>
        <v>2022114411</v>
      </c>
      <c r="C1304" s="5" t="str">
        <f t="shared" si="82"/>
        <v>44</v>
      </c>
      <c r="D1304" s="5" t="str">
        <f>"11"</f>
        <v>11</v>
      </c>
      <c r="E1304" s="6">
        <v>0</v>
      </c>
      <c r="F1304" s="6">
        <v>0</v>
      </c>
      <c r="G1304" s="6">
        <v>0</v>
      </c>
      <c r="H1304" s="6" t="s">
        <v>10</v>
      </c>
    </row>
    <row r="1305" ht="20.1" customHeight="1" spans="1:8">
      <c r="A1305" s="5" t="str">
        <f t="shared" si="83"/>
        <v>221014</v>
      </c>
      <c r="B1305" s="5" t="str">
        <f>"2022114412"</f>
        <v>2022114412</v>
      </c>
      <c r="C1305" s="5" t="str">
        <f t="shared" si="82"/>
        <v>44</v>
      </c>
      <c r="D1305" s="5" t="str">
        <f>"12"</f>
        <v>12</v>
      </c>
      <c r="E1305" s="6">
        <v>111</v>
      </c>
      <c r="F1305" s="6">
        <v>106.3</v>
      </c>
      <c r="G1305" s="6">
        <v>72.4333333333333</v>
      </c>
      <c r="H1305" s="6" t="s">
        <v>9</v>
      </c>
    </row>
    <row r="1306" ht="20.1" customHeight="1" spans="1:8">
      <c r="A1306" s="5" t="str">
        <f t="shared" si="83"/>
        <v>221014</v>
      </c>
      <c r="B1306" s="5" t="str">
        <f>"2022114413"</f>
        <v>2022114413</v>
      </c>
      <c r="C1306" s="5" t="str">
        <f t="shared" si="82"/>
        <v>44</v>
      </c>
      <c r="D1306" s="5" t="str">
        <f>"13"</f>
        <v>13</v>
      </c>
      <c r="E1306" s="6">
        <v>70.5</v>
      </c>
      <c r="F1306" s="6">
        <v>108.8</v>
      </c>
      <c r="G1306" s="6">
        <v>59.7666666666667</v>
      </c>
      <c r="H1306" s="6" t="s">
        <v>9</v>
      </c>
    </row>
    <row r="1307" ht="20.1" customHeight="1" spans="1:8">
      <c r="A1307" s="5" t="str">
        <f t="shared" si="83"/>
        <v>221014</v>
      </c>
      <c r="B1307" s="5" t="str">
        <f>"2022114414"</f>
        <v>2022114414</v>
      </c>
      <c r="C1307" s="5" t="str">
        <f t="shared" si="82"/>
        <v>44</v>
      </c>
      <c r="D1307" s="5" t="str">
        <f>"14"</f>
        <v>14</v>
      </c>
      <c r="E1307" s="6">
        <v>111</v>
      </c>
      <c r="F1307" s="6">
        <v>112.6</v>
      </c>
      <c r="G1307" s="6">
        <v>74.5333333333333</v>
      </c>
      <c r="H1307" s="6" t="s">
        <v>9</v>
      </c>
    </row>
    <row r="1308" ht="20.1" customHeight="1" spans="1:8">
      <c r="A1308" s="5" t="str">
        <f t="shared" si="83"/>
        <v>221014</v>
      </c>
      <c r="B1308" s="5" t="str">
        <f>"2022114415"</f>
        <v>2022114415</v>
      </c>
      <c r="C1308" s="5" t="str">
        <f t="shared" si="82"/>
        <v>44</v>
      </c>
      <c r="D1308" s="5" t="str">
        <f>"15"</f>
        <v>15</v>
      </c>
      <c r="E1308" s="6">
        <v>94.5</v>
      </c>
      <c r="F1308" s="6">
        <v>105.5</v>
      </c>
      <c r="G1308" s="6">
        <v>66.6666666666667</v>
      </c>
      <c r="H1308" s="6" t="s">
        <v>9</v>
      </c>
    </row>
    <row r="1309" ht="20.1" customHeight="1" spans="1:8">
      <c r="A1309" s="5" t="str">
        <f t="shared" si="83"/>
        <v>221014</v>
      </c>
      <c r="B1309" s="5" t="str">
        <f>"2022114416"</f>
        <v>2022114416</v>
      </c>
      <c r="C1309" s="5" t="str">
        <f t="shared" si="82"/>
        <v>44</v>
      </c>
      <c r="D1309" s="5" t="str">
        <f>"16"</f>
        <v>16</v>
      </c>
      <c r="E1309" s="6">
        <v>90</v>
      </c>
      <c r="F1309" s="6">
        <v>109.3</v>
      </c>
      <c r="G1309" s="6">
        <v>66.4333333333333</v>
      </c>
      <c r="H1309" s="6" t="s">
        <v>9</v>
      </c>
    </row>
    <row r="1310" ht="20.1" customHeight="1" spans="1:8">
      <c r="A1310" s="5" t="str">
        <f t="shared" si="83"/>
        <v>221014</v>
      </c>
      <c r="B1310" s="5" t="str">
        <f>"2022114417"</f>
        <v>2022114417</v>
      </c>
      <c r="C1310" s="5" t="str">
        <f t="shared" si="82"/>
        <v>44</v>
      </c>
      <c r="D1310" s="5" t="str">
        <f>"17"</f>
        <v>17</v>
      </c>
      <c r="E1310" s="6">
        <v>97.5</v>
      </c>
      <c r="F1310" s="6">
        <v>104</v>
      </c>
      <c r="G1310" s="6">
        <v>67.1666666666667</v>
      </c>
      <c r="H1310" s="6" t="s">
        <v>9</v>
      </c>
    </row>
    <row r="1311" ht="20.1" customHeight="1" spans="1:8">
      <c r="A1311" s="5" t="str">
        <f t="shared" si="83"/>
        <v>221014</v>
      </c>
      <c r="B1311" s="5" t="str">
        <f>"2022114418"</f>
        <v>2022114418</v>
      </c>
      <c r="C1311" s="5" t="str">
        <f t="shared" si="82"/>
        <v>44</v>
      </c>
      <c r="D1311" s="5" t="str">
        <f>"18"</f>
        <v>18</v>
      </c>
      <c r="E1311" s="6">
        <v>114</v>
      </c>
      <c r="F1311" s="6">
        <v>109.8</v>
      </c>
      <c r="G1311" s="6">
        <v>74.6</v>
      </c>
      <c r="H1311" s="6" t="s">
        <v>9</v>
      </c>
    </row>
    <row r="1312" ht="20.1" customHeight="1" spans="1:8">
      <c r="A1312" s="5" t="str">
        <f t="shared" si="83"/>
        <v>221014</v>
      </c>
      <c r="B1312" s="5" t="str">
        <f>"2022114419"</f>
        <v>2022114419</v>
      </c>
      <c r="C1312" s="5" t="str">
        <f t="shared" si="82"/>
        <v>44</v>
      </c>
      <c r="D1312" s="5" t="str">
        <f>"19"</f>
        <v>19</v>
      </c>
      <c r="E1312" s="6">
        <v>94.5</v>
      </c>
      <c r="F1312" s="6">
        <v>53.1</v>
      </c>
      <c r="G1312" s="6">
        <v>49.2</v>
      </c>
      <c r="H1312" s="6" t="s">
        <v>9</v>
      </c>
    </row>
    <row r="1313" ht="20.1" customHeight="1" spans="1:8">
      <c r="A1313" s="5" t="str">
        <f t="shared" si="83"/>
        <v>221014</v>
      </c>
      <c r="B1313" s="5" t="str">
        <f>"2022114420"</f>
        <v>2022114420</v>
      </c>
      <c r="C1313" s="5" t="str">
        <f t="shared" si="82"/>
        <v>44</v>
      </c>
      <c r="D1313" s="5" t="str">
        <f>"20"</f>
        <v>20</v>
      </c>
      <c r="E1313" s="6">
        <v>0</v>
      </c>
      <c r="F1313" s="6">
        <v>0</v>
      </c>
      <c r="G1313" s="6">
        <v>0</v>
      </c>
      <c r="H1313" s="6" t="s">
        <v>10</v>
      </c>
    </row>
    <row r="1314" ht="20.1" customHeight="1" spans="1:8">
      <c r="A1314" s="5" t="str">
        <f t="shared" si="83"/>
        <v>221014</v>
      </c>
      <c r="B1314" s="5" t="str">
        <f>"2022114421"</f>
        <v>2022114421</v>
      </c>
      <c r="C1314" s="5" t="str">
        <f t="shared" si="82"/>
        <v>44</v>
      </c>
      <c r="D1314" s="5" t="str">
        <f>"21"</f>
        <v>21</v>
      </c>
      <c r="E1314" s="6">
        <v>0</v>
      </c>
      <c r="F1314" s="6">
        <v>0</v>
      </c>
      <c r="G1314" s="6">
        <v>0</v>
      </c>
      <c r="H1314" s="6" t="s">
        <v>10</v>
      </c>
    </row>
    <row r="1315" ht="20.1" customHeight="1" spans="1:8">
      <c r="A1315" s="5" t="str">
        <f t="shared" si="83"/>
        <v>221014</v>
      </c>
      <c r="B1315" s="5" t="str">
        <f>"2022114422"</f>
        <v>2022114422</v>
      </c>
      <c r="C1315" s="5" t="str">
        <f t="shared" si="82"/>
        <v>44</v>
      </c>
      <c r="D1315" s="5" t="str">
        <f>"22"</f>
        <v>22</v>
      </c>
      <c r="E1315" s="6">
        <v>115.5</v>
      </c>
      <c r="F1315" s="6">
        <v>112.5</v>
      </c>
      <c r="G1315" s="6">
        <v>76</v>
      </c>
      <c r="H1315" s="6" t="s">
        <v>9</v>
      </c>
    </row>
    <row r="1316" ht="20.1" customHeight="1" spans="1:8">
      <c r="A1316" s="5" t="str">
        <f t="shared" si="83"/>
        <v>221014</v>
      </c>
      <c r="B1316" s="5" t="str">
        <f>"2022114423"</f>
        <v>2022114423</v>
      </c>
      <c r="C1316" s="5" t="str">
        <f t="shared" si="82"/>
        <v>44</v>
      </c>
      <c r="D1316" s="5" t="str">
        <f>"23"</f>
        <v>23</v>
      </c>
      <c r="E1316" s="6">
        <v>91.5</v>
      </c>
      <c r="F1316" s="6">
        <v>101.3</v>
      </c>
      <c r="G1316" s="6">
        <v>64.2666666666667</v>
      </c>
      <c r="H1316" s="6" t="s">
        <v>9</v>
      </c>
    </row>
    <row r="1317" ht="20.1" customHeight="1" spans="1:8">
      <c r="A1317" s="5" t="str">
        <f t="shared" si="83"/>
        <v>221014</v>
      </c>
      <c r="B1317" s="5" t="str">
        <f>"2022114424"</f>
        <v>2022114424</v>
      </c>
      <c r="C1317" s="5" t="str">
        <f t="shared" si="82"/>
        <v>44</v>
      </c>
      <c r="D1317" s="5" t="str">
        <f>"24"</f>
        <v>24</v>
      </c>
      <c r="E1317" s="6">
        <v>0</v>
      </c>
      <c r="F1317" s="6">
        <v>0</v>
      </c>
      <c r="G1317" s="6">
        <v>0</v>
      </c>
      <c r="H1317" s="6" t="s">
        <v>10</v>
      </c>
    </row>
    <row r="1318" ht="20.1" customHeight="1" spans="1:8">
      <c r="A1318" s="5" t="str">
        <f t="shared" si="83"/>
        <v>221014</v>
      </c>
      <c r="B1318" s="5" t="str">
        <f>"2022114425"</f>
        <v>2022114425</v>
      </c>
      <c r="C1318" s="5" t="str">
        <f t="shared" si="82"/>
        <v>44</v>
      </c>
      <c r="D1318" s="5" t="str">
        <f>"25"</f>
        <v>25</v>
      </c>
      <c r="E1318" s="6">
        <v>0</v>
      </c>
      <c r="F1318" s="6">
        <v>0</v>
      </c>
      <c r="G1318" s="6">
        <v>0</v>
      </c>
      <c r="H1318" s="6" t="s">
        <v>10</v>
      </c>
    </row>
    <row r="1319" ht="20.1" customHeight="1" spans="1:8">
      <c r="A1319" s="5" t="str">
        <f t="shared" si="83"/>
        <v>221014</v>
      </c>
      <c r="B1319" s="5" t="str">
        <f>"2022114426"</f>
        <v>2022114426</v>
      </c>
      <c r="C1319" s="5" t="str">
        <f t="shared" si="82"/>
        <v>44</v>
      </c>
      <c r="D1319" s="5" t="str">
        <f>"26"</f>
        <v>26</v>
      </c>
      <c r="E1319" s="6">
        <v>127.5</v>
      </c>
      <c r="F1319" s="6">
        <v>107.5</v>
      </c>
      <c r="G1319" s="6">
        <v>78.3333333333333</v>
      </c>
      <c r="H1319" s="6" t="s">
        <v>9</v>
      </c>
    </row>
    <row r="1320" ht="20.1" customHeight="1" spans="1:8">
      <c r="A1320" s="5" t="str">
        <f t="shared" si="83"/>
        <v>221014</v>
      </c>
      <c r="B1320" s="5" t="str">
        <f>"2022114427"</f>
        <v>2022114427</v>
      </c>
      <c r="C1320" s="5" t="str">
        <f t="shared" si="82"/>
        <v>44</v>
      </c>
      <c r="D1320" s="5" t="str">
        <f>"27"</f>
        <v>27</v>
      </c>
      <c r="E1320" s="6">
        <v>123</v>
      </c>
      <c r="F1320" s="6">
        <v>114</v>
      </c>
      <c r="G1320" s="6">
        <v>79</v>
      </c>
      <c r="H1320" s="6" t="s">
        <v>9</v>
      </c>
    </row>
    <row r="1321" ht="20.1" customHeight="1" spans="1:8">
      <c r="A1321" s="5" t="str">
        <f t="shared" si="83"/>
        <v>221014</v>
      </c>
      <c r="B1321" s="5" t="str">
        <f>"2022114428"</f>
        <v>2022114428</v>
      </c>
      <c r="C1321" s="5" t="str">
        <f t="shared" si="82"/>
        <v>44</v>
      </c>
      <c r="D1321" s="5" t="str">
        <f>"28"</f>
        <v>28</v>
      </c>
      <c r="E1321" s="6">
        <v>112.5</v>
      </c>
      <c r="F1321" s="6">
        <v>113.6</v>
      </c>
      <c r="G1321" s="6">
        <v>75.3666666666667</v>
      </c>
      <c r="H1321" s="6" t="s">
        <v>9</v>
      </c>
    </row>
    <row r="1322" ht="20.1" customHeight="1" spans="1:8">
      <c r="A1322" s="5" t="str">
        <f t="shared" si="83"/>
        <v>221014</v>
      </c>
      <c r="B1322" s="5" t="str">
        <f>"2022114429"</f>
        <v>2022114429</v>
      </c>
      <c r="C1322" s="5" t="str">
        <f t="shared" si="82"/>
        <v>44</v>
      </c>
      <c r="D1322" s="5" t="str">
        <f>"29"</f>
        <v>29</v>
      </c>
      <c r="E1322" s="6">
        <v>103.5</v>
      </c>
      <c r="F1322" s="6">
        <v>113</v>
      </c>
      <c r="G1322" s="6">
        <v>72.1666666666667</v>
      </c>
      <c r="H1322" s="6" t="s">
        <v>9</v>
      </c>
    </row>
    <row r="1323" ht="20.1" customHeight="1" spans="1:8">
      <c r="A1323" s="5" t="str">
        <f t="shared" si="83"/>
        <v>221014</v>
      </c>
      <c r="B1323" s="5" t="str">
        <f>"2022114430"</f>
        <v>2022114430</v>
      </c>
      <c r="C1323" s="5" t="str">
        <f t="shared" si="82"/>
        <v>44</v>
      </c>
      <c r="D1323" s="5" t="str">
        <f>"30"</f>
        <v>30</v>
      </c>
      <c r="E1323" s="6">
        <v>0</v>
      </c>
      <c r="F1323" s="6">
        <v>0</v>
      </c>
      <c r="G1323" s="6">
        <v>0</v>
      </c>
      <c r="H1323" s="6" t="s">
        <v>10</v>
      </c>
    </row>
    <row r="1324" ht="20.1" customHeight="1" spans="1:8">
      <c r="A1324" s="5" t="str">
        <f t="shared" si="83"/>
        <v>221014</v>
      </c>
      <c r="B1324" s="5" t="str">
        <f>"2022114431"</f>
        <v>2022114431</v>
      </c>
      <c r="C1324" s="5" t="str">
        <f t="shared" si="82"/>
        <v>44</v>
      </c>
      <c r="D1324" s="5" t="str">
        <f>"31"</f>
        <v>31</v>
      </c>
      <c r="E1324" s="6">
        <v>99</v>
      </c>
      <c r="F1324" s="6">
        <v>98.9</v>
      </c>
      <c r="G1324" s="6">
        <v>65.9666666666667</v>
      </c>
      <c r="H1324" s="6" t="s">
        <v>9</v>
      </c>
    </row>
    <row r="1325" ht="20.1" customHeight="1" spans="1:8">
      <c r="A1325" s="5" t="str">
        <f t="shared" si="83"/>
        <v>221014</v>
      </c>
      <c r="B1325" s="5" t="str">
        <f>"2022114501"</f>
        <v>2022114501</v>
      </c>
      <c r="C1325" s="5" t="str">
        <f t="shared" ref="C1325:C1355" si="84">"45"</f>
        <v>45</v>
      </c>
      <c r="D1325" s="5" t="str">
        <f>"01"</f>
        <v>01</v>
      </c>
      <c r="E1325" s="6">
        <v>123</v>
      </c>
      <c r="F1325" s="6">
        <v>96.4</v>
      </c>
      <c r="G1325" s="6">
        <v>73.1333333333333</v>
      </c>
      <c r="H1325" s="6" t="s">
        <v>9</v>
      </c>
    </row>
    <row r="1326" ht="20.1" customHeight="1" spans="1:8">
      <c r="A1326" s="5" t="str">
        <f t="shared" si="83"/>
        <v>221014</v>
      </c>
      <c r="B1326" s="5" t="str">
        <f>"2022114502"</f>
        <v>2022114502</v>
      </c>
      <c r="C1326" s="5" t="str">
        <f t="shared" si="84"/>
        <v>45</v>
      </c>
      <c r="D1326" s="5" t="str">
        <f>"02"</f>
        <v>02</v>
      </c>
      <c r="E1326" s="6">
        <v>109.5</v>
      </c>
      <c r="F1326" s="6">
        <v>108</v>
      </c>
      <c r="G1326" s="6">
        <v>72.5</v>
      </c>
      <c r="H1326" s="6" t="s">
        <v>9</v>
      </c>
    </row>
    <row r="1327" ht="20.1" customHeight="1" spans="1:8">
      <c r="A1327" s="5" t="str">
        <f t="shared" si="83"/>
        <v>221014</v>
      </c>
      <c r="B1327" s="5" t="str">
        <f>"2022114503"</f>
        <v>2022114503</v>
      </c>
      <c r="C1327" s="5" t="str">
        <f t="shared" si="84"/>
        <v>45</v>
      </c>
      <c r="D1327" s="5" t="str">
        <f>"03"</f>
        <v>03</v>
      </c>
      <c r="E1327" s="6">
        <v>0</v>
      </c>
      <c r="F1327" s="6">
        <v>0</v>
      </c>
      <c r="G1327" s="6">
        <v>0</v>
      </c>
      <c r="H1327" s="6" t="s">
        <v>10</v>
      </c>
    </row>
    <row r="1328" ht="20.1" customHeight="1" spans="1:8">
      <c r="A1328" s="5" t="str">
        <f t="shared" si="83"/>
        <v>221014</v>
      </c>
      <c r="B1328" s="5" t="str">
        <f>"2022114504"</f>
        <v>2022114504</v>
      </c>
      <c r="C1328" s="5" t="str">
        <f t="shared" si="84"/>
        <v>45</v>
      </c>
      <c r="D1328" s="5" t="str">
        <f>"04"</f>
        <v>04</v>
      </c>
      <c r="E1328" s="6">
        <v>108</v>
      </c>
      <c r="F1328" s="6">
        <v>109.6</v>
      </c>
      <c r="G1328" s="6">
        <v>72.5333333333333</v>
      </c>
      <c r="H1328" s="6" t="s">
        <v>9</v>
      </c>
    </row>
    <row r="1329" ht="20.1" customHeight="1" spans="1:8">
      <c r="A1329" s="5" t="str">
        <f t="shared" si="83"/>
        <v>221014</v>
      </c>
      <c r="B1329" s="5" t="str">
        <f>"2022114505"</f>
        <v>2022114505</v>
      </c>
      <c r="C1329" s="5" t="str">
        <f t="shared" si="84"/>
        <v>45</v>
      </c>
      <c r="D1329" s="5" t="str">
        <f>"05"</f>
        <v>05</v>
      </c>
      <c r="E1329" s="6">
        <v>0</v>
      </c>
      <c r="F1329" s="6">
        <v>0</v>
      </c>
      <c r="G1329" s="6">
        <v>0</v>
      </c>
      <c r="H1329" s="6" t="s">
        <v>10</v>
      </c>
    </row>
    <row r="1330" ht="20.1" customHeight="1" spans="1:8">
      <c r="A1330" s="5" t="str">
        <f t="shared" si="83"/>
        <v>221014</v>
      </c>
      <c r="B1330" s="5" t="str">
        <f>"2022114506"</f>
        <v>2022114506</v>
      </c>
      <c r="C1330" s="5" t="str">
        <f t="shared" si="84"/>
        <v>45</v>
      </c>
      <c r="D1330" s="5" t="str">
        <f>"06"</f>
        <v>06</v>
      </c>
      <c r="E1330" s="6">
        <v>0</v>
      </c>
      <c r="F1330" s="6">
        <v>0</v>
      </c>
      <c r="G1330" s="6">
        <v>0</v>
      </c>
      <c r="H1330" s="6" t="s">
        <v>10</v>
      </c>
    </row>
    <row r="1331" ht="20.1" customHeight="1" spans="1:8">
      <c r="A1331" s="5" t="str">
        <f t="shared" si="83"/>
        <v>221014</v>
      </c>
      <c r="B1331" s="5" t="str">
        <f>"2022114507"</f>
        <v>2022114507</v>
      </c>
      <c r="C1331" s="5" t="str">
        <f t="shared" si="84"/>
        <v>45</v>
      </c>
      <c r="D1331" s="5" t="str">
        <f>"07"</f>
        <v>07</v>
      </c>
      <c r="E1331" s="6">
        <v>99</v>
      </c>
      <c r="F1331" s="6">
        <v>98.4</v>
      </c>
      <c r="G1331" s="6">
        <v>65.8</v>
      </c>
      <c r="H1331" s="6" t="s">
        <v>9</v>
      </c>
    </row>
    <row r="1332" ht="20.1" customHeight="1" spans="1:8">
      <c r="A1332" s="5" t="str">
        <f t="shared" si="83"/>
        <v>221014</v>
      </c>
      <c r="B1332" s="5" t="str">
        <f>"2022114508"</f>
        <v>2022114508</v>
      </c>
      <c r="C1332" s="5" t="str">
        <f t="shared" si="84"/>
        <v>45</v>
      </c>
      <c r="D1332" s="5" t="str">
        <f>"08"</f>
        <v>08</v>
      </c>
      <c r="E1332" s="6">
        <v>114</v>
      </c>
      <c r="F1332" s="6">
        <v>108.7</v>
      </c>
      <c r="G1332" s="6">
        <v>74.2333333333333</v>
      </c>
      <c r="H1332" s="6" t="s">
        <v>9</v>
      </c>
    </row>
    <row r="1333" ht="20.1" customHeight="1" spans="1:8">
      <c r="A1333" s="5" t="str">
        <f t="shared" ref="A1333:A1364" si="85">"221014"</f>
        <v>221014</v>
      </c>
      <c r="B1333" s="5" t="str">
        <f>"2022114509"</f>
        <v>2022114509</v>
      </c>
      <c r="C1333" s="5" t="str">
        <f t="shared" si="84"/>
        <v>45</v>
      </c>
      <c r="D1333" s="5" t="str">
        <f>"09"</f>
        <v>09</v>
      </c>
      <c r="E1333" s="6">
        <v>126</v>
      </c>
      <c r="F1333" s="6">
        <v>106.7</v>
      </c>
      <c r="G1333" s="6">
        <v>77.5666666666667</v>
      </c>
      <c r="H1333" s="6" t="s">
        <v>9</v>
      </c>
    </row>
    <row r="1334" ht="20.1" customHeight="1" spans="1:8">
      <c r="A1334" s="5" t="str">
        <f t="shared" si="85"/>
        <v>221014</v>
      </c>
      <c r="B1334" s="5" t="str">
        <f>"2022114510"</f>
        <v>2022114510</v>
      </c>
      <c r="C1334" s="5" t="str">
        <f t="shared" si="84"/>
        <v>45</v>
      </c>
      <c r="D1334" s="5" t="str">
        <f>"10"</f>
        <v>10</v>
      </c>
      <c r="E1334" s="6">
        <v>0</v>
      </c>
      <c r="F1334" s="6">
        <v>0</v>
      </c>
      <c r="G1334" s="6">
        <v>0</v>
      </c>
      <c r="H1334" s="6" t="s">
        <v>10</v>
      </c>
    </row>
    <row r="1335" ht="20.1" customHeight="1" spans="1:8">
      <c r="A1335" s="5" t="str">
        <f t="shared" si="85"/>
        <v>221014</v>
      </c>
      <c r="B1335" s="5" t="str">
        <f>"2022114511"</f>
        <v>2022114511</v>
      </c>
      <c r="C1335" s="5" t="str">
        <f t="shared" si="84"/>
        <v>45</v>
      </c>
      <c r="D1335" s="5" t="str">
        <f>"11"</f>
        <v>11</v>
      </c>
      <c r="E1335" s="6">
        <v>0</v>
      </c>
      <c r="F1335" s="6">
        <v>0</v>
      </c>
      <c r="G1335" s="6">
        <v>0</v>
      </c>
      <c r="H1335" s="6" t="s">
        <v>10</v>
      </c>
    </row>
    <row r="1336" ht="20.1" customHeight="1" spans="1:8">
      <c r="A1336" s="5" t="str">
        <f t="shared" si="85"/>
        <v>221014</v>
      </c>
      <c r="B1336" s="5" t="str">
        <f>"2022114512"</f>
        <v>2022114512</v>
      </c>
      <c r="C1336" s="5" t="str">
        <f t="shared" si="84"/>
        <v>45</v>
      </c>
      <c r="D1336" s="5" t="str">
        <f>"12"</f>
        <v>12</v>
      </c>
      <c r="E1336" s="6">
        <v>111</v>
      </c>
      <c r="F1336" s="6">
        <v>110.3</v>
      </c>
      <c r="G1336" s="6">
        <v>73.7666666666667</v>
      </c>
      <c r="H1336" s="6" t="s">
        <v>9</v>
      </c>
    </row>
    <row r="1337" ht="20.1" customHeight="1" spans="1:8">
      <c r="A1337" s="5" t="str">
        <f t="shared" si="85"/>
        <v>221014</v>
      </c>
      <c r="B1337" s="5" t="str">
        <f>"2022114513"</f>
        <v>2022114513</v>
      </c>
      <c r="C1337" s="5" t="str">
        <f t="shared" si="84"/>
        <v>45</v>
      </c>
      <c r="D1337" s="5" t="str">
        <f>"13"</f>
        <v>13</v>
      </c>
      <c r="E1337" s="6">
        <v>111</v>
      </c>
      <c r="F1337" s="6">
        <v>89.1</v>
      </c>
      <c r="G1337" s="6">
        <v>66.7</v>
      </c>
      <c r="H1337" s="6" t="s">
        <v>9</v>
      </c>
    </row>
    <row r="1338" ht="20.1" customHeight="1" spans="1:8">
      <c r="A1338" s="5" t="str">
        <f t="shared" si="85"/>
        <v>221014</v>
      </c>
      <c r="B1338" s="5" t="str">
        <f>"2022114514"</f>
        <v>2022114514</v>
      </c>
      <c r="C1338" s="5" t="str">
        <f t="shared" si="84"/>
        <v>45</v>
      </c>
      <c r="D1338" s="5" t="str">
        <f>"14"</f>
        <v>14</v>
      </c>
      <c r="E1338" s="6">
        <v>99</v>
      </c>
      <c r="F1338" s="6">
        <v>105.2</v>
      </c>
      <c r="G1338" s="6">
        <v>68.0666666666667</v>
      </c>
      <c r="H1338" s="6" t="s">
        <v>9</v>
      </c>
    </row>
    <row r="1339" ht="20.1" customHeight="1" spans="1:8">
      <c r="A1339" s="5" t="str">
        <f t="shared" si="85"/>
        <v>221014</v>
      </c>
      <c r="B1339" s="5" t="str">
        <f>"2022114515"</f>
        <v>2022114515</v>
      </c>
      <c r="C1339" s="5" t="str">
        <f t="shared" si="84"/>
        <v>45</v>
      </c>
      <c r="D1339" s="5" t="str">
        <f>"15"</f>
        <v>15</v>
      </c>
      <c r="E1339" s="6">
        <v>117</v>
      </c>
      <c r="F1339" s="6">
        <v>109.7</v>
      </c>
      <c r="G1339" s="6">
        <v>75.5666666666667</v>
      </c>
      <c r="H1339" s="6" t="s">
        <v>9</v>
      </c>
    </row>
    <row r="1340" ht="20.1" customHeight="1" spans="1:8">
      <c r="A1340" s="5" t="str">
        <f t="shared" si="85"/>
        <v>221014</v>
      </c>
      <c r="B1340" s="5" t="str">
        <f>"2022114516"</f>
        <v>2022114516</v>
      </c>
      <c r="C1340" s="5" t="str">
        <f t="shared" si="84"/>
        <v>45</v>
      </c>
      <c r="D1340" s="5" t="str">
        <f>"16"</f>
        <v>16</v>
      </c>
      <c r="E1340" s="6">
        <v>0</v>
      </c>
      <c r="F1340" s="6">
        <v>0</v>
      </c>
      <c r="G1340" s="6">
        <v>0</v>
      </c>
      <c r="H1340" s="6" t="s">
        <v>10</v>
      </c>
    </row>
    <row r="1341" ht="20.1" customHeight="1" spans="1:8">
      <c r="A1341" s="5" t="str">
        <f t="shared" si="85"/>
        <v>221014</v>
      </c>
      <c r="B1341" s="5" t="str">
        <f>"2022114517"</f>
        <v>2022114517</v>
      </c>
      <c r="C1341" s="5" t="str">
        <f t="shared" si="84"/>
        <v>45</v>
      </c>
      <c r="D1341" s="5" t="str">
        <f>"17"</f>
        <v>17</v>
      </c>
      <c r="E1341" s="6">
        <v>115.5</v>
      </c>
      <c r="F1341" s="6">
        <v>62.5</v>
      </c>
      <c r="G1341" s="6">
        <v>59.3333333333333</v>
      </c>
      <c r="H1341" s="6" t="s">
        <v>9</v>
      </c>
    </row>
    <row r="1342" ht="20.1" customHeight="1" spans="1:8">
      <c r="A1342" s="5" t="str">
        <f t="shared" si="85"/>
        <v>221014</v>
      </c>
      <c r="B1342" s="5" t="str">
        <f>"2022114518"</f>
        <v>2022114518</v>
      </c>
      <c r="C1342" s="5" t="str">
        <f t="shared" si="84"/>
        <v>45</v>
      </c>
      <c r="D1342" s="5" t="str">
        <f>"18"</f>
        <v>18</v>
      </c>
      <c r="E1342" s="6">
        <v>100.5</v>
      </c>
      <c r="F1342" s="6">
        <v>107.2</v>
      </c>
      <c r="G1342" s="6">
        <v>69.2333333333333</v>
      </c>
      <c r="H1342" s="6" t="s">
        <v>9</v>
      </c>
    </row>
    <row r="1343" ht="20.1" customHeight="1" spans="1:8">
      <c r="A1343" s="5" t="str">
        <f t="shared" si="85"/>
        <v>221014</v>
      </c>
      <c r="B1343" s="5" t="str">
        <f>"2022114519"</f>
        <v>2022114519</v>
      </c>
      <c r="C1343" s="5" t="str">
        <f t="shared" si="84"/>
        <v>45</v>
      </c>
      <c r="D1343" s="5" t="str">
        <f>"19"</f>
        <v>19</v>
      </c>
      <c r="E1343" s="6">
        <v>102</v>
      </c>
      <c r="F1343" s="6">
        <v>114.5</v>
      </c>
      <c r="G1343" s="6">
        <v>72.1666666666667</v>
      </c>
      <c r="H1343" s="6" t="s">
        <v>9</v>
      </c>
    </row>
    <row r="1344" ht="20.1" customHeight="1" spans="1:8">
      <c r="A1344" s="5" t="str">
        <f t="shared" si="85"/>
        <v>221014</v>
      </c>
      <c r="B1344" s="5" t="str">
        <f>"2022114520"</f>
        <v>2022114520</v>
      </c>
      <c r="C1344" s="5" t="str">
        <f t="shared" si="84"/>
        <v>45</v>
      </c>
      <c r="D1344" s="5" t="str">
        <f>"20"</f>
        <v>20</v>
      </c>
      <c r="E1344" s="6">
        <v>121.5</v>
      </c>
      <c r="F1344" s="6">
        <v>117.7</v>
      </c>
      <c r="G1344" s="6">
        <v>79.7333333333333</v>
      </c>
      <c r="H1344" s="6" t="s">
        <v>9</v>
      </c>
    </row>
    <row r="1345" ht="20.1" customHeight="1" spans="1:8">
      <c r="A1345" s="5" t="str">
        <f t="shared" si="85"/>
        <v>221014</v>
      </c>
      <c r="B1345" s="5" t="str">
        <f>"2022114521"</f>
        <v>2022114521</v>
      </c>
      <c r="C1345" s="5" t="str">
        <f t="shared" si="84"/>
        <v>45</v>
      </c>
      <c r="D1345" s="5" t="str">
        <f>"21"</f>
        <v>21</v>
      </c>
      <c r="E1345" s="6">
        <v>117</v>
      </c>
      <c r="F1345" s="6">
        <v>110.6</v>
      </c>
      <c r="G1345" s="6">
        <v>75.8666666666667</v>
      </c>
      <c r="H1345" s="6" t="s">
        <v>9</v>
      </c>
    </row>
    <row r="1346" ht="20.1" customHeight="1" spans="1:8">
      <c r="A1346" s="5" t="str">
        <f t="shared" si="85"/>
        <v>221014</v>
      </c>
      <c r="B1346" s="5" t="str">
        <f>"2022114522"</f>
        <v>2022114522</v>
      </c>
      <c r="C1346" s="5" t="str">
        <f t="shared" si="84"/>
        <v>45</v>
      </c>
      <c r="D1346" s="5" t="str">
        <f>"22"</f>
        <v>22</v>
      </c>
      <c r="E1346" s="6">
        <v>115.5</v>
      </c>
      <c r="F1346" s="6">
        <v>111.9</v>
      </c>
      <c r="G1346" s="6">
        <v>75.8</v>
      </c>
      <c r="H1346" s="6" t="s">
        <v>9</v>
      </c>
    </row>
    <row r="1347" ht="20.1" customHeight="1" spans="1:8">
      <c r="A1347" s="5" t="str">
        <f t="shared" si="85"/>
        <v>221014</v>
      </c>
      <c r="B1347" s="5" t="str">
        <f>"2022114523"</f>
        <v>2022114523</v>
      </c>
      <c r="C1347" s="5" t="str">
        <f t="shared" si="84"/>
        <v>45</v>
      </c>
      <c r="D1347" s="5" t="str">
        <f>"23"</f>
        <v>23</v>
      </c>
      <c r="E1347" s="6">
        <v>0</v>
      </c>
      <c r="F1347" s="6">
        <v>0</v>
      </c>
      <c r="G1347" s="6">
        <v>0</v>
      </c>
      <c r="H1347" s="6" t="s">
        <v>10</v>
      </c>
    </row>
    <row r="1348" ht="20.1" customHeight="1" spans="1:8">
      <c r="A1348" s="5" t="str">
        <f t="shared" si="85"/>
        <v>221014</v>
      </c>
      <c r="B1348" s="5" t="str">
        <f>"2022114524"</f>
        <v>2022114524</v>
      </c>
      <c r="C1348" s="5" t="str">
        <f t="shared" si="84"/>
        <v>45</v>
      </c>
      <c r="D1348" s="5" t="str">
        <f>"24"</f>
        <v>24</v>
      </c>
      <c r="E1348" s="6">
        <v>0</v>
      </c>
      <c r="F1348" s="6">
        <v>0</v>
      </c>
      <c r="G1348" s="6">
        <v>0</v>
      </c>
      <c r="H1348" s="6" t="s">
        <v>10</v>
      </c>
    </row>
    <row r="1349" ht="20.1" customHeight="1" spans="1:8">
      <c r="A1349" s="5" t="str">
        <f t="shared" si="85"/>
        <v>221014</v>
      </c>
      <c r="B1349" s="5" t="str">
        <f>"2022114525"</f>
        <v>2022114525</v>
      </c>
      <c r="C1349" s="5" t="str">
        <f t="shared" si="84"/>
        <v>45</v>
      </c>
      <c r="D1349" s="5" t="str">
        <f>"25"</f>
        <v>25</v>
      </c>
      <c r="E1349" s="6">
        <v>109.5</v>
      </c>
      <c r="F1349" s="6">
        <v>96.1</v>
      </c>
      <c r="G1349" s="6">
        <v>68.5333333333333</v>
      </c>
      <c r="H1349" s="6" t="s">
        <v>9</v>
      </c>
    </row>
    <row r="1350" ht="20.1" customHeight="1" spans="1:8">
      <c r="A1350" s="5" t="str">
        <f t="shared" si="85"/>
        <v>221014</v>
      </c>
      <c r="B1350" s="5" t="str">
        <f>"2022114526"</f>
        <v>2022114526</v>
      </c>
      <c r="C1350" s="5" t="str">
        <f t="shared" si="84"/>
        <v>45</v>
      </c>
      <c r="D1350" s="5" t="str">
        <f>"26"</f>
        <v>26</v>
      </c>
      <c r="E1350" s="6">
        <v>0</v>
      </c>
      <c r="F1350" s="6">
        <v>0</v>
      </c>
      <c r="G1350" s="6">
        <v>0</v>
      </c>
      <c r="H1350" s="6" t="s">
        <v>10</v>
      </c>
    </row>
    <row r="1351" ht="20.1" customHeight="1" spans="1:8">
      <c r="A1351" s="5" t="str">
        <f t="shared" si="85"/>
        <v>221014</v>
      </c>
      <c r="B1351" s="5" t="str">
        <f>"2022114527"</f>
        <v>2022114527</v>
      </c>
      <c r="C1351" s="5" t="str">
        <f t="shared" si="84"/>
        <v>45</v>
      </c>
      <c r="D1351" s="5" t="str">
        <f>"27"</f>
        <v>27</v>
      </c>
      <c r="E1351" s="6">
        <v>117</v>
      </c>
      <c r="F1351" s="6">
        <v>87.7</v>
      </c>
      <c r="G1351" s="6">
        <v>68.2333333333333</v>
      </c>
      <c r="H1351" s="6" t="s">
        <v>9</v>
      </c>
    </row>
    <row r="1352" ht="20.1" customHeight="1" spans="1:8">
      <c r="A1352" s="5" t="str">
        <f t="shared" si="85"/>
        <v>221014</v>
      </c>
      <c r="B1352" s="5" t="str">
        <f>"2022114528"</f>
        <v>2022114528</v>
      </c>
      <c r="C1352" s="5" t="str">
        <f t="shared" si="84"/>
        <v>45</v>
      </c>
      <c r="D1352" s="5" t="str">
        <f>"28"</f>
        <v>28</v>
      </c>
      <c r="E1352" s="6">
        <v>103.5</v>
      </c>
      <c r="F1352" s="6">
        <v>104.3</v>
      </c>
      <c r="G1352" s="6">
        <v>69.2666666666667</v>
      </c>
      <c r="H1352" s="6" t="s">
        <v>9</v>
      </c>
    </row>
    <row r="1353" ht="20.1" customHeight="1" spans="1:8">
      <c r="A1353" s="5" t="str">
        <f t="shared" si="85"/>
        <v>221014</v>
      </c>
      <c r="B1353" s="5" t="str">
        <f>"2022114529"</f>
        <v>2022114529</v>
      </c>
      <c r="C1353" s="5" t="str">
        <f t="shared" si="84"/>
        <v>45</v>
      </c>
      <c r="D1353" s="5" t="str">
        <f>"29"</f>
        <v>29</v>
      </c>
      <c r="E1353" s="6">
        <v>108</v>
      </c>
      <c r="F1353" s="6">
        <v>109.7</v>
      </c>
      <c r="G1353" s="6">
        <v>72.5666666666667</v>
      </c>
      <c r="H1353" s="6" t="s">
        <v>9</v>
      </c>
    </row>
    <row r="1354" ht="20.1" customHeight="1" spans="1:8">
      <c r="A1354" s="5" t="str">
        <f t="shared" si="85"/>
        <v>221014</v>
      </c>
      <c r="B1354" s="5" t="str">
        <f>"2022114530"</f>
        <v>2022114530</v>
      </c>
      <c r="C1354" s="5" t="str">
        <f t="shared" si="84"/>
        <v>45</v>
      </c>
      <c r="D1354" s="5" t="str">
        <f>"30"</f>
        <v>30</v>
      </c>
      <c r="E1354" s="6">
        <v>0</v>
      </c>
      <c r="F1354" s="6">
        <v>0</v>
      </c>
      <c r="G1354" s="6">
        <v>0</v>
      </c>
      <c r="H1354" s="6" t="s">
        <v>10</v>
      </c>
    </row>
    <row r="1355" ht="20.1" customHeight="1" spans="1:8">
      <c r="A1355" s="5" t="str">
        <f t="shared" si="85"/>
        <v>221014</v>
      </c>
      <c r="B1355" s="5" t="str">
        <f>"2022114531"</f>
        <v>2022114531</v>
      </c>
      <c r="C1355" s="5" t="str">
        <f t="shared" si="84"/>
        <v>45</v>
      </c>
      <c r="D1355" s="5" t="str">
        <f>"31"</f>
        <v>31</v>
      </c>
      <c r="E1355" s="6">
        <v>123</v>
      </c>
      <c r="F1355" s="6">
        <v>108.9</v>
      </c>
      <c r="G1355" s="6">
        <v>77.3</v>
      </c>
      <c r="H1355" s="6" t="s">
        <v>9</v>
      </c>
    </row>
    <row r="1356" ht="20.1" customHeight="1" spans="1:8">
      <c r="A1356" s="5" t="str">
        <f t="shared" si="85"/>
        <v>221014</v>
      </c>
      <c r="B1356" s="5" t="str">
        <f>"2022114601"</f>
        <v>2022114601</v>
      </c>
      <c r="C1356" s="5" t="str">
        <f t="shared" ref="C1356:C1386" si="86">"46"</f>
        <v>46</v>
      </c>
      <c r="D1356" s="5" t="str">
        <f>"01"</f>
        <v>01</v>
      </c>
      <c r="E1356" s="6">
        <v>78</v>
      </c>
      <c r="F1356" s="6">
        <v>99</v>
      </c>
      <c r="G1356" s="6">
        <v>59</v>
      </c>
      <c r="H1356" s="6" t="s">
        <v>9</v>
      </c>
    </row>
    <row r="1357" ht="20.1" customHeight="1" spans="1:8">
      <c r="A1357" s="5" t="str">
        <f t="shared" si="85"/>
        <v>221014</v>
      </c>
      <c r="B1357" s="5" t="str">
        <f>"2022114602"</f>
        <v>2022114602</v>
      </c>
      <c r="C1357" s="5" t="str">
        <f t="shared" si="86"/>
        <v>46</v>
      </c>
      <c r="D1357" s="5" t="str">
        <f>"02"</f>
        <v>02</v>
      </c>
      <c r="E1357" s="6">
        <v>102</v>
      </c>
      <c r="F1357" s="6">
        <v>82.7</v>
      </c>
      <c r="G1357" s="6">
        <v>61.5666666666667</v>
      </c>
      <c r="H1357" s="6" t="s">
        <v>9</v>
      </c>
    </row>
    <row r="1358" ht="20.1" customHeight="1" spans="1:8">
      <c r="A1358" s="5" t="str">
        <f t="shared" si="85"/>
        <v>221014</v>
      </c>
      <c r="B1358" s="5" t="str">
        <f>"2022114603"</f>
        <v>2022114603</v>
      </c>
      <c r="C1358" s="5" t="str">
        <f t="shared" si="86"/>
        <v>46</v>
      </c>
      <c r="D1358" s="5" t="str">
        <f>"03"</f>
        <v>03</v>
      </c>
      <c r="E1358" s="6">
        <v>118.5</v>
      </c>
      <c r="F1358" s="6">
        <v>80.1</v>
      </c>
      <c r="G1358" s="6">
        <v>66.2</v>
      </c>
      <c r="H1358" s="6" t="s">
        <v>9</v>
      </c>
    </row>
    <row r="1359" ht="20.1" customHeight="1" spans="1:8">
      <c r="A1359" s="5" t="str">
        <f t="shared" si="85"/>
        <v>221014</v>
      </c>
      <c r="B1359" s="5" t="str">
        <f>"2022114604"</f>
        <v>2022114604</v>
      </c>
      <c r="C1359" s="5" t="str">
        <f t="shared" si="86"/>
        <v>46</v>
      </c>
      <c r="D1359" s="5" t="str">
        <f>"04"</f>
        <v>04</v>
      </c>
      <c r="E1359" s="6">
        <v>82.5</v>
      </c>
      <c r="F1359" s="6">
        <v>58.5</v>
      </c>
      <c r="G1359" s="6">
        <v>47</v>
      </c>
      <c r="H1359" s="6" t="s">
        <v>9</v>
      </c>
    </row>
    <row r="1360" ht="20.1" customHeight="1" spans="1:8">
      <c r="A1360" s="5" t="str">
        <f t="shared" si="85"/>
        <v>221014</v>
      </c>
      <c r="B1360" s="5" t="str">
        <f>"2022114605"</f>
        <v>2022114605</v>
      </c>
      <c r="C1360" s="5" t="str">
        <f t="shared" si="86"/>
        <v>46</v>
      </c>
      <c r="D1360" s="5" t="str">
        <f>"05"</f>
        <v>05</v>
      </c>
      <c r="E1360" s="6">
        <v>126</v>
      </c>
      <c r="F1360" s="6">
        <v>108.5</v>
      </c>
      <c r="G1360" s="6">
        <v>78.1666666666667</v>
      </c>
      <c r="H1360" s="6" t="s">
        <v>9</v>
      </c>
    </row>
    <row r="1361" ht="20.1" customHeight="1" spans="1:8">
      <c r="A1361" s="5" t="str">
        <f t="shared" si="85"/>
        <v>221014</v>
      </c>
      <c r="B1361" s="5" t="str">
        <f>"2022114606"</f>
        <v>2022114606</v>
      </c>
      <c r="C1361" s="5" t="str">
        <f t="shared" si="86"/>
        <v>46</v>
      </c>
      <c r="D1361" s="5" t="str">
        <f>"06"</f>
        <v>06</v>
      </c>
      <c r="E1361" s="6">
        <v>135</v>
      </c>
      <c r="F1361" s="6">
        <v>116.6</v>
      </c>
      <c r="G1361" s="6">
        <v>83.8666666666667</v>
      </c>
      <c r="H1361" s="7" t="s">
        <v>11</v>
      </c>
    </row>
    <row r="1362" ht="20.1" customHeight="1" spans="1:8">
      <c r="A1362" s="5" t="str">
        <f t="shared" si="85"/>
        <v>221014</v>
      </c>
      <c r="B1362" s="5" t="str">
        <f>"2022114607"</f>
        <v>2022114607</v>
      </c>
      <c r="C1362" s="5" t="str">
        <f t="shared" si="86"/>
        <v>46</v>
      </c>
      <c r="D1362" s="5" t="str">
        <f>"07"</f>
        <v>07</v>
      </c>
      <c r="E1362" s="6">
        <v>111</v>
      </c>
      <c r="F1362" s="6">
        <v>115</v>
      </c>
      <c r="G1362" s="6">
        <v>75.3333333333333</v>
      </c>
      <c r="H1362" s="6" t="s">
        <v>9</v>
      </c>
    </row>
    <row r="1363" ht="20.1" customHeight="1" spans="1:8">
      <c r="A1363" s="5" t="str">
        <f t="shared" si="85"/>
        <v>221014</v>
      </c>
      <c r="B1363" s="5" t="str">
        <f>"2022114608"</f>
        <v>2022114608</v>
      </c>
      <c r="C1363" s="5" t="str">
        <f t="shared" si="86"/>
        <v>46</v>
      </c>
      <c r="D1363" s="5" t="str">
        <f>"08"</f>
        <v>08</v>
      </c>
      <c r="E1363" s="6">
        <v>118.5</v>
      </c>
      <c r="F1363" s="6">
        <v>103.7</v>
      </c>
      <c r="G1363" s="6">
        <v>74.0666666666667</v>
      </c>
      <c r="H1363" s="6" t="s">
        <v>9</v>
      </c>
    </row>
    <row r="1364" ht="20.1" customHeight="1" spans="1:8">
      <c r="A1364" s="5" t="str">
        <f t="shared" si="85"/>
        <v>221014</v>
      </c>
      <c r="B1364" s="5" t="str">
        <f>"2022114609"</f>
        <v>2022114609</v>
      </c>
      <c r="C1364" s="5" t="str">
        <f t="shared" si="86"/>
        <v>46</v>
      </c>
      <c r="D1364" s="5" t="str">
        <f>"09"</f>
        <v>09</v>
      </c>
      <c r="E1364" s="6">
        <v>120</v>
      </c>
      <c r="F1364" s="6">
        <v>112</v>
      </c>
      <c r="G1364" s="6">
        <v>77.3333333333333</v>
      </c>
      <c r="H1364" s="6" t="s">
        <v>9</v>
      </c>
    </row>
    <row r="1365" ht="20.1" customHeight="1" spans="1:8">
      <c r="A1365" s="5" t="str">
        <f t="shared" ref="A1365:A1386" si="87">"221014"</f>
        <v>221014</v>
      </c>
      <c r="B1365" s="5" t="str">
        <f>"2022114610"</f>
        <v>2022114610</v>
      </c>
      <c r="C1365" s="5" t="str">
        <f t="shared" si="86"/>
        <v>46</v>
      </c>
      <c r="D1365" s="5" t="str">
        <f>"10"</f>
        <v>10</v>
      </c>
      <c r="E1365" s="6">
        <v>99</v>
      </c>
      <c r="F1365" s="6">
        <v>106</v>
      </c>
      <c r="G1365" s="6">
        <v>68.3333333333333</v>
      </c>
      <c r="H1365" s="6" t="s">
        <v>9</v>
      </c>
    </row>
    <row r="1366" ht="20.1" customHeight="1" spans="1:8">
      <c r="A1366" s="5" t="str">
        <f t="shared" si="87"/>
        <v>221014</v>
      </c>
      <c r="B1366" s="5" t="str">
        <f>"2022114611"</f>
        <v>2022114611</v>
      </c>
      <c r="C1366" s="5" t="str">
        <f t="shared" si="86"/>
        <v>46</v>
      </c>
      <c r="D1366" s="5" t="str">
        <f>"11"</f>
        <v>11</v>
      </c>
      <c r="E1366" s="6">
        <v>130.5</v>
      </c>
      <c r="F1366" s="6">
        <v>113.9</v>
      </c>
      <c r="G1366" s="6">
        <v>81.4666666666667</v>
      </c>
      <c r="H1366" s="7" t="s">
        <v>11</v>
      </c>
    </row>
    <row r="1367" ht="20.1" customHeight="1" spans="1:8">
      <c r="A1367" s="5" t="str">
        <f t="shared" si="87"/>
        <v>221014</v>
      </c>
      <c r="B1367" s="5" t="str">
        <f>"2022114612"</f>
        <v>2022114612</v>
      </c>
      <c r="C1367" s="5" t="str">
        <f t="shared" si="86"/>
        <v>46</v>
      </c>
      <c r="D1367" s="5" t="str">
        <f>"12"</f>
        <v>12</v>
      </c>
      <c r="E1367" s="6">
        <v>0</v>
      </c>
      <c r="F1367" s="6">
        <v>0</v>
      </c>
      <c r="G1367" s="6">
        <v>0</v>
      </c>
      <c r="H1367" s="6" t="s">
        <v>10</v>
      </c>
    </row>
    <row r="1368" ht="20.1" customHeight="1" spans="1:8">
      <c r="A1368" s="5" t="str">
        <f t="shared" si="87"/>
        <v>221014</v>
      </c>
      <c r="B1368" s="5" t="str">
        <f>"2022114613"</f>
        <v>2022114613</v>
      </c>
      <c r="C1368" s="5" t="str">
        <f t="shared" si="86"/>
        <v>46</v>
      </c>
      <c r="D1368" s="5" t="str">
        <f>"13"</f>
        <v>13</v>
      </c>
      <c r="E1368" s="6">
        <v>124.5</v>
      </c>
      <c r="F1368" s="6">
        <v>102</v>
      </c>
      <c r="G1368" s="6">
        <v>75.5</v>
      </c>
      <c r="H1368" s="6" t="s">
        <v>9</v>
      </c>
    </row>
    <row r="1369" ht="20.1" customHeight="1" spans="1:8">
      <c r="A1369" s="5" t="str">
        <f t="shared" si="87"/>
        <v>221014</v>
      </c>
      <c r="B1369" s="5" t="str">
        <f>"2022114614"</f>
        <v>2022114614</v>
      </c>
      <c r="C1369" s="5" t="str">
        <f t="shared" si="86"/>
        <v>46</v>
      </c>
      <c r="D1369" s="5" t="str">
        <f>"14"</f>
        <v>14</v>
      </c>
      <c r="E1369" s="6">
        <v>0</v>
      </c>
      <c r="F1369" s="6">
        <v>0</v>
      </c>
      <c r="G1369" s="6">
        <v>0</v>
      </c>
      <c r="H1369" s="6" t="s">
        <v>10</v>
      </c>
    </row>
    <row r="1370" ht="20.1" customHeight="1" spans="1:8">
      <c r="A1370" s="5" t="str">
        <f t="shared" si="87"/>
        <v>221014</v>
      </c>
      <c r="B1370" s="5" t="str">
        <f>"2022114615"</f>
        <v>2022114615</v>
      </c>
      <c r="C1370" s="5" t="str">
        <f t="shared" si="86"/>
        <v>46</v>
      </c>
      <c r="D1370" s="5" t="str">
        <f>"15"</f>
        <v>15</v>
      </c>
      <c r="E1370" s="6">
        <v>111</v>
      </c>
      <c r="F1370" s="6">
        <v>112.2</v>
      </c>
      <c r="G1370" s="6">
        <v>74.4</v>
      </c>
      <c r="H1370" s="6" t="s">
        <v>9</v>
      </c>
    </row>
    <row r="1371" ht="20.1" customHeight="1" spans="1:8">
      <c r="A1371" s="5" t="str">
        <f t="shared" si="87"/>
        <v>221014</v>
      </c>
      <c r="B1371" s="5" t="str">
        <f>"2022114616"</f>
        <v>2022114616</v>
      </c>
      <c r="C1371" s="5" t="str">
        <f t="shared" si="86"/>
        <v>46</v>
      </c>
      <c r="D1371" s="5" t="str">
        <f>"16"</f>
        <v>16</v>
      </c>
      <c r="E1371" s="6">
        <v>0</v>
      </c>
      <c r="F1371" s="6">
        <v>0</v>
      </c>
      <c r="G1371" s="6">
        <v>0</v>
      </c>
      <c r="H1371" s="6" t="s">
        <v>10</v>
      </c>
    </row>
    <row r="1372" ht="20.1" customHeight="1" spans="1:8">
      <c r="A1372" s="5" t="str">
        <f t="shared" si="87"/>
        <v>221014</v>
      </c>
      <c r="B1372" s="5" t="str">
        <f>"2022114617"</f>
        <v>2022114617</v>
      </c>
      <c r="C1372" s="5" t="str">
        <f t="shared" si="86"/>
        <v>46</v>
      </c>
      <c r="D1372" s="5" t="str">
        <f>"17"</f>
        <v>17</v>
      </c>
      <c r="E1372" s="6">
        <v>115.5</v>
      </c>
      <c r="F1372" s="6">
        <v>110.1</v>
      </c>
      <c r="G1372" s="6">
        <v>75.2</v>
      </c>
      <c r="H1372" s="6" t="s">
        <v>9</v>
      </c>
    </row>
    <row r="1373" ht="20.1" customHeight="1" spans="1:8">
      <c r="A1373" s="5" t="str">
        <f t="shared" si="87"/>
        <v>221014</v>
      </c>
      <c r="B1373" s="5" t="str">
        <f>"2022114618"</f>
        <v>2022114618</v>
      </c>
      <c r="C1373" s="5" t="str">
        <f t="shared" si="86"/>
        <v>46</v>
      </c>
      <c r="D1373" s="5" t="str">
        <f>"18"</f>
        <v>18</v>
      </c>
      <c r="E1373" s="6">
        <v>0</v>
      </c>
      <c r="F1373" s="6">
        <v>0</v>
      </c>
      <c r="G1373" s="6">
        <v>0</v>
      </c>
      <c r="H1373" s="6" t="s">
        <v>10</v>
      </c>
    </row>
    <row r="1374" ht="20.1" customHeight="1" spans="1:8">
      <c r="A1374" s="5" t="str">
        <f t="shared" si="87"/>
        <v>221014</v>
      </c>
      <c r="B1374" s="5" t="str">
        <f>"2022114619"</f>
        <v>2022114619</v>
      </c>
      <c r="C1374" s="5" t="str">
        <f t="shared" si="86"/>
        <v>46</v>
      </c>
      <c r="D1374" s="5" t="str">
        <f>"19"</f>
        <v>19</v>
      </c>
      <c r="E1374" s="6">
        <v>109.5</v>
      </c>
      <c r="F1374" s="6">
        <v>114.3</v>
      </c>
      <c r="G1374" s="6">
        <v>74.6</v>
      </c>
      <c r="H1374" s="6" t="s">
        <v>9</v>
      </c>
    </row>
    <row r="1375" ht="20.1" customHeight="1" spans="1:8">
      <c r="A1375" s="5" t="str">
        <f t="shared" si="87"/>
        <v>221014</v>
      </c>
      <c r="B1375" s="5" t="str">
        <f>"2022114620"</f>
        <v>2022114620</v>
      </c>
      <c r="C1375" s="5" t="str">
        <f t="shared" si="86"/>
        <v>46</v>
      </c>
      <c r="D1375" s="5" t="str">
        <f>"20"</f>
        <v>20</v>
      </c>
      <c r="E1375" s="6">
        <v>0</v>
      </c>
      <c r="F1375" s="6">
        <v>0</v>
      </c>
      <c r="G1375" s="6">
        <v>0</v>
      </c>
      <c r="H1375" s="6" t="s">
        <v>10</v>
      </c>
    </row>
    <row r="1376" ht="20.1" customHeight="1" spans="1:8">
      <c r="A1376" s="5" t="str">
        <f t="shared" si="87"/>
        <v>221014</v>
      </c>
      <c r="B1376" s="5" t="str">
        <f>"2022114621"</f>
        <v>2022114621</v>
      </c>
      <c r="C1376" s="5" t="str">
        <f t="shared" si="86"/>
        <v>46</v>
      </c>
      <c r="D1376" s="5" t="str">
        <f>"21"</f>
        <v>21</v>
      </c>
      <c r="E1376" s="6">
        <v>93</v>
      </c>
      <c r="F1376" s="6">
        <v>104.9</v>
      </c>
      <c r="G1376" s="6">
        <v>65.9666666666667</v>
      </c>
      <c r="H1376" s="6" t="s">
        <v>9</v>
      </c>
    </row>
    <row r="1377" ht="20.1" customHeight="1" spans="1:8">
      <c r="A1377" s="5" t="str">
        <f t="shared" si="87"/>
        <v>221014</v>
      </c>
      <c r="B1377" s="5" t="str">
        <f>"2022114622"</f>
        <v>2022114622</v>
      </c>
      <c r="C1377" s="5" t="str">
        <f t="shared" si="86"/>
        <v>46</v>
      </c>
      <c r="D1377" s="5" t="str">
        <f>"22"</f>
        <v>22</v>
      </c>
      <c r="E1377" s="6">
        <v>0</v>
      </c>
      <c r="F1377" s="6">
        <v>0</v>
      </c>
      <c r="G1377" s="6">
        <v>0</v>
      </c>
      <c r="H1377" s="6" t="s">
        <v>10</v>
      </c>
    </row>
    <row r="1378" ht="20.1" customHeight="1" spans="1:8">
      <c r="A1378" s="5" t="str">
        <f t="shared" si="87"/>
        <v>221014</v>
      </c>
      <c r="B1378" s="5" t="str">
        <f>"2022114623"</f>
        <v>2022114623</v>
      </c>
      <c r="C1378" s="5" t="str">
        <f t="shared" si="86"/>
        <v>46</v>
      </c>
      <c r="D1378" s="5" t="str">
        <f>"23"</f>
        <v>23</v>
      </c>
      <c r="E1378" s="6">
        <v>0</v>
      </c>
      <c r="F1378" s="6">
        <v>0</v>
      </c>
      <c r="G1378" s="6">
        <v>0</v>
      </c>
      <c r="H1378" s="6" t="s">
        <v>10</v>
      </c>
    </row>
    <row r="1379" ht="20.1" customHeight="1" spans="1:8">
      <c r="A1379" s="5" t="str">
        <f t="shared" si="87"/>
        <v>221014</v>
      </c>
      <c r="B1379" s="5" t="str">
        <f>"2022114624"</f>
        <v>2022114624</v>
      </c>
      <c r="C1379" s="5" t="str">
        <f t="shared" si="86"/>
        <v>46</v>
      </c>
      <c r="D1379" s="5" t="str">
        <f>"24"</f>
        <v>24</v>
      </c>
      <c r="E1379" s="6">
        <v>0</v>
      </c>
      <c r="F1379" s="6">
        <v>0</v>
      </c>
      <c r="G1379" s="6">
        <v>0</v>
      </c>
      <c r="H1379" s="6" t="s">
        <v>10</v>
      </c>
    </row>
    <row r="1380" ht="20.1" customHeight="1" spans="1:8">
      <c r="A1380" s="5" t="str">
        <f t="shared" si="87"/>
        <v>221014</v>
      </c>
      <c r="B1380" s="5" t="str">
        <f>"2022114625"</f>
        <v>2022114625</v>
      </c>
      <c r="C1380" s="5" t="str">
        <f t="shared" si="86"/>
        <v>46</v>
      </c>
      <c r="D1380" s="5" t="str">
        <f>"25"</f>
        <v>25</v>
      </c>
      <c r="E1380" s="6">
        <v>130.5</v>
      </c>
      <c r="F1380" s="6">
        <v>110.3</v>
      </c>
      <c r="G1380" s="6">
        <v>80.2666666666667</v>
      </c>
      <c r="H1380" s="6" t="s">
        <v>9</v>
      </c>
    </row>
    <row r="1381" ht="20.1" customHeight="1" spans="1:8">
      <c r="A1381" s="5" t="str">
        <f t="shared" si="87"/>
        <v>221014</v>
      </c>
      <c r="B1381" s="5" t="str">
        <f>"2022114626"</f>
        <v>2022114626</v>
      </c>
      <c r="C1381" s="5" t="str">
        <f t="shared" si="86"/>
        <v>46</v>
      </c>
      <c r="D1381" s="5" t="str">
        <f>"26"</f>
        <v>26</v>
      </c>
      <c r="E1381" s="6">
        <v>120</v>
      </c>
      <c r="F1381" s="6">
        <v>106.7</v>
      </c>
      <c r="G1381" s="6">
        <v>75.5666666666667</v>
      </c>
      <c r="H1381" s="6" t="s">
        <v>9</v>
      </c>
    </row>
    <row r="1382" ht="20.1" customHeight="1" spans="1:8">
      <c r="A1382" s="5" t="str">
        <f t="shared" si="87"/>
        <v>221014</v>
      </c>
      <c r="B1382" s="5" t="str">
        <f>"2022114627"</f>
        <v>2022114627</v>
      </c>
      <c r="C1382" s="5" t="str">
        <f t="shared" si="86"/>
        <v>46</v>
      </c>
      <c r="D1382" s="5" t="str">
        <f>"27"</f>
        <v>27</v>
      </c>
      <c r="E1382" s="6">
        <v>0</v>
      </c>
      <c r="F1382" s="6">
        <v>0</v>
      </c>
      <c r="G1382" s="6">
        <v>0</v>
      </c>
      <c r="H1382" s="6" t="s">
        <v>10</v>
      </c>
    </row>
    <row r="1383" ht="20.1" customHeight="1" spans="1:8">
      <c r="A1383" s="5" t="str">
        <f t="shared" si="87"/>
        <v>221014</v>
      </c>
      <c r="B1383" s="5" t="str">
        <f>"2022114628"</f>
        <v>2022114628</v>
      </c>
      <c r="C1383" s="5" t="str">
        <f t="shared" si="86"/>
        <v>46</v>
      </c>
      <c r="D1383" s="5" t="str">
        <f>"28"</f>
        <v>28</v>
      </c>
      <c r="E1383" s="6">
        <v>111</v>
      </c>
      <c r="F1383" s="6">
        <v>70.8</v>
      </c>
      <c r="G1383" s="6">
        <v>60.6</v>
      </c>
      <c r="H1383" s="6" t="s">
        <v>9</v>
      </c>
    </row>
    <row r="1384" ht="20.1" customHeight="1" spans="1:8">
      <c r="A1384" s="5" t="str">
        <f t="shared" si="87"/>
        <v>221014</v>
      </c>
      <c r="B1384" s="5" t="str">
        <f>"2022114629"</f>
        <v>2022114629</v>
      </c>
      <c r="C1384" s="5" t="str">
        <f t="shared" si="86"/>
        <v>46</v>
      </c>
      <c r="D1384" s="5" t="str">
        <f>"29"</f>
        <v>29</v>
      </c>
      <c r="E1384" s="6">
        <v>111</v>
      </c>
      <c r="F1384" s="6">
        <v>114</v>
      </c>
      <c r="G1384" s="6">
        <v>75</v>
      </c>
      <c r="H1384" s="6" t="s">
        <v>9</v>
      </c>
    </row>
    <row r="1385" ht="20.1" customHeight="1" spans="1:8">
      <c r="A1385" s="5" t="str">
        <f t="shared" si="87"/>
        <v>221014</v>
      </c>
      <c r="B1385" s="5" t="str">
        <f>"2022114630"</f>
        <v>2022114630</v>
      </c>
      <c r="C1385" s="5" t="str">
        <f t="shared" si="86"/>
        <v>46</v>
      </c>
      <c r="D1385" s="5" t="str">
        <f>"30"</f>
        <v>30</v>
      </c>
      <c r="E1385" s="6">
        <v>114</v>
      </c>
      <c r="F1385" s="6">
        <v>117.2</v>
      </c>
      <c r="G1385" s="6">
        <v>77.0666666666667</v>
      </c>
      <c r="H1385" s="6" t="s">
        <v>9</v>
      </c>
    </row>
    <row r="1386" ht="20.1" customHeight="1" spans="1:8">
      <c r="A1386" s="5" t="str">
        <f t="shared" si="87"/>
        <v>221014</v>
      </c>
      <c r="B1386" s="5" t="str">
        <f>"2022114631"</f>
        <v>2022114631</v>
      </c>
      <c r="C1386" s="5" t="str">
        <f t="shared" si="86"/>
        <v>46</v>
      </c>
      <c r="D1386" s="5" t="str">
        <f>"31"</f>
        <v>31</v>
      </c>
      <c r="E1386" s="6">
        <v>0</v>
      </c>
      <c r="F1386" s="6">
        <v>0</v>
      </c>
      <c r="G1386" s="6">
        <v>0</v>
      </c>
      <c r="H1386" s="6" t="s">
        <v>10</v>
      </c>
    </row>
  </sheetData>
  <sheetProtection password="C6A4" sheet="1" objects="1" scenarios="1"/>
  <autoFilter ref="A2:H1386">
    <extLst/>
  </autoFilter>
  <mergeCells count="1">
    <mergeCell ref="A1:H1"/>
  </mergeCell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2022怀远县事业单位笔试成绩及拟进入专业测试人员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RSJSDA</dc:creator>
  <cp:lastModifiedBy>坏月亮</cp:lastModifiedBy>
  <dcterms:created xsi:type="dcterms:W3CDTF">2022-11-21T00:25:00Z</dcterms:created>
  <cp:lastPrinted>2022-11-24T01:26:00Z</cp:lastPrinted>
  <dcterms:modified xsi:type="dcterms:W3CDTF">2022-11-24T03:08:48Z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922E6C0632B840F89300EEE3A5B4267C</vt:lpwstr>
  </property>
  <property fmtid="{D5CDD505-2E9C-101B-9397-08002B2CF9AE}" pid="3" name="KSOProductBuildVer">
    <vt:lpwstr>2052-11.1.0.12763</vt:lpwstr>
  </property>
</Properties>
</file>